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planningserver\Joint Planning\LDRUpdate\AMDs\AMD17-0004-P17-052-Housing\Phase 4 - Drafting\Working docs\"/>
    </mc:Choice>
  </mc:AlternateContent>
  <xr:revisionPtr revIDLastSave="0" documentId="13_ncr:1_{B3584D55-1A3E-4449-BB47-BBC97D680DD8}" xr6:coauthVersionLast="33" xr6:coauthVersionMax="33" xr10:uidLastSave="{00000000-0000-0000-0000-000000000000}"/>
  <bookViews>
    <workbookView xWindow="6750" yWindow="0" windowWidth="3060" windowHeight="7680" xr2:uid="{00000000-000D-0000-FFFF-FFFF00000000}"/>
  </bookViews>
  <sheets>
    <sheet name="Worksheet" sheetId="1" r:id="rId1"/>
    <sheet name="Amount (6.3.3)" sheetId="2" r:id="rId2"/>
    <sheet name="Allocation (6.3.4)" sheetId="6" r:id="rId3"/>
    <sheet name="In-Lieu Fee (6.3..5.D.5)" sheetId="4" r:id="rId4"/>
    <sheet name="Sheet5" sheetId="5"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10" i="1"/>
  <c r="B11" i="1"/>
  <c r="B12" i="1"/>
  <c r="B13" i="1"/>
  <c r="B14" i="1"/>
  <c r="B15" i="1"/>
  <c r="B16" i="1"/>
  <c r="B7" i="1"/>
  <c r="F15" i="5"/>
  <c r="F30" i="5"/>
  <c r="F25" i="5"/>
  <c r="F22" i="5"/>
  <c r="F17" i="5"/>
  <c r="F20" i="5" s="1"/>
  <c r="F7" i="5"/>
  <c r="F10" i="5" s="1"/>
  <c r="F27" i="5" l="1"/>
  <c r="F28" i="5"/>
  <c r="D23" i="2" s="1"/>
  <c r="F31" i="5"/>
  <c r="C23" i="2" s="1"/>
  <c r="B23" i="2" s="1"/>
  <c r="R7" i="4" l="1"/>
  <c r="S7" i="4" s="1"/>
  <c r="Q8" i="4"/>
  <c r="Q6" i="4"/>
  <c r="Q5" i="4"/>
  <c r="O8" i="4"/>
  <c r="N8" i="4"/>
  <c r="P8" i="4" s="1"/>
  <c r="N6" i="4"/>
  <c r="P6" i="4" s="1"/>
  <c r="O6" i="4"/>
  <c r="N7" i="4"/>
  <c r="P7" i="4" s="1"/>
  <c r="O7" i="4"/>
  <c r="O5" i="4"/>
  <c r="P5" i="4" s="1"/>
  <c r="N5" i="4"/>
  <c r="J6" i="4" l="1"/>
  <c r="R6" i="4" s="1"/>
  <c r="S6" i="4" s="1"/>
  <c r="J5" i="4"/>
  <c r="D15" i="4"/>
  <c r="C15" i="4"/>
  <c r="B15" i="4"/>
  <c r="D14" i="4"/>
  <c r="D33" i="4" s="1"/>
  <c r="C14" i="4"/>
  <c r="B14" i="4"/>
  <c r="D13" i="4"/>
  <c r="C13" i="4"/>
  <c r="C32" i="4" s="1"/>
  <c r="B13" i="4"/>
  <c r="B32" i="4" s="1"/>
  <c r="D12" i="4"/>
  <c r="D40" i="4" s="1"/>
  <c r="C12" i="4"/>
  <c r="C40" i="4" s="1"/>
  <c r="B12" i="4"/>
  <c r="B40" i="4" s="1"/>
  <c r="B43" i="4" l="1"/>
  <c r="B30" i="4"/>
  <c r="C30" i="4"/>
  <c r="D42" i="4"/>
  <c r="C43" i="4"/>
  <c r="R8" i="4"/>
  <c r="S8" i="4" s="1"/>
  <c r="B3" i="4" s="1"/>
  <c r="R5" i="4"/>
  <c r="S5" i="4" s="1"/>
  <c r="D43" i="4"/>
  <c r="D50" i="4" s="1"/>
  <c r="D41" i="4"/>
  <c r="D32" i="4"/>
  <c r="B41" i="4"/>
  <c r="C42" i="4"/>
  <c r="C41" i="4"/>
  <c r="D30" i="4"/>
  <c r="D47" i="4" s="1"/>
  <c r="C33" i="4"/>
  <c r="B42" i="4"/>
  <c r="B49" i="4" s="1"/>
  <c r="B31" i="4"/>
  <c r="C31" i="4"/>
  <c r="B33" i="4"/>
  <c r="D31" i="4"/>
  <c r="D48" i="4" s="1"/>
  <c r="C50" i="4" l="1"/>
  <c r="C49" i="4"/>
  <c r="D49" i="4"/>
  <c r="C47" i="4"/>
  <c r="C48" i="4"/>
  <c r="B47" i="4"/>
  <c r="B48" i="4"/>
  <c r="B50" i="4"/>
  <c r="G48" i="6"/>
  <c r="G44" i="6"/>
  <c r="G41" i="6"/>
  <c r="F48" i="6"/>
  <c r="F44" i="6"/>
  <c r="F41" i="6"/>
  <c r="G50" i="6" l="1"/>
  <c r="C28" i="6"/>
  <c r="B26" i="6"/>
  <c r="B25" i="6"/>
  <c r="B24" i="6"/>
  <c r="B23" i="6"/>
  <c r="B22" i="6"/>
  <c r="B15" i="6"/>
  <c r="D18" i="6" s="1"/>
  <c r="B14" i="6"/>
  <c r="D14" i="6" s="1"/>
  <c r="K13" i="5"/>
  <c r="G9" i="2" s="1"/>
  <c r="G7" i="2" l="1"/>
  <c r="G12" i="2"/>
  <c r="G11" i="2"/>
  <c r="G10" i="2"/>
  <c r="G8" i="2"/>
  <c r="C24" i="6"/>
  <c r="D24" i="6"/>
  <c r="D27" i="6"/>
  <c r="C18" i="6"/>
  <c r="C27" i="6"/>
  <c r="C14" i="6"/>
  <c r="E30" i="5"/>
  <c r="C30" i="5"/>
  <c r="G30" i="5"/>
  <c r="H30" i="5"/>
  <c r="I30" i="5"/>
  <c r="J30" i="5"/>
  <c r="D30" i="5"/>
  <c r="G17" i="1" l="1"/>
  <c r="H17" i="1"/>
  <c r="F17" i="1"/>
  <c r="J22" i="5" l="1"/>
  <c r="J25" i="5" s="1"/>
  <c r="J17" i="5"/>
  <c r="J20" i="5" s="1"/>
  <c r="I22" i="5"/>
  <c r="I25" i="5" s="1"/>
  <c r="H22" i="5"/>
  <c r="H25" i="5" s="1"/>
  <c r="G22" i="5"/>
  <c r="G25" i="5" s="1"/>
  <c r="C22" i="5"/>
  <c r="C25" i="5" s="1"/>
  <c r="E22" i="5"/>
  <c r="E25" i="5" s="1"/>
  <c r="D22" i="5"/>
  <c r="D25" i="5" s="1"/>
  <c r="I17" i="5"/>
  <c r="I20" i="5" s="1"/>
  <c r="H17" i="5"/>
  <c r="H20" i="5" s="1"/>
  <c r="G17" i="5"/>
  <c r="G20" i="5" s="1"/>
  <c r="C17" i="5"/>
  <c r="E17" i="5"/>
  <c r="E20" i="5" s="1"/>
  <c r="D17" i="5"/>
  <c r="D20" i="5" s="1"/>
  <c r="I15" i="5"/>
  <c r="H15" i="5"/>
  <c r="G15" i="5"/>
  <c r="C15" i="5"/>
  <c r="E15" i="5"/>
  <c r="D15" i="5"/>
  <c r="J7" i="5"/>
  <c r="J10" i="5" s="1"/>
  <c r="I7" i="5"/>
  <c r="H7" i="5"/>
  <c r="G7" i="5"/>
  <c r="G10" i="5" s="1"/>
  <c r="C7" i="5"/>
  <c r="C10" i="5" s="1"/>
  <c r="E7" i="5"/>
  <c r="E10" i="5" s="1"/>
  <c r="D7" i="5"/>
  <c r="D10" i="5" s="1"/>
  <c r="D28" i="5" l="1"/>
  <c r="E28" i="5"/>
  <c r="G28" i="5"/>
  <c r="J28" i="5"/>
  <c r="I7" i="1" s="1"/>
  <c r="J27" i="5"/>
  <c r="H27" i="5"/>
  <c r="I27" i="5"/>
  <c r="C27" i="5"/>
  <c r="D27" i="5"/>
  <c r="G27" i="5"/>
  <c r="H10" i="5"/>
  <c r="H28" i="5" s="1"/>
  <c r="E27" i="5"/>
  <c r="C20" i="5"/>
  <c r="C28" i="5" s="1"/>
  <c r="I10" i="5"/>
  <c r="I28" i="5" s="1"/>
  <c r="I31" i="5" l="1"/>
  <c r="D17" i="2"/>
  <c r="D16" i="2"/>
  <c r="C31" i="5"/>
  <c r="D18" i="2"/>
  <c r="H31" i="5"/>
  <c r="D29" i="2"/>
  <c r="D30" i="2"/>
  <c r="G31" i="5"/>
  <c r="D37" i="2"/>
  <c r="D36" i="2"/>
  <c r="D35" i="2"/>
  <c r="D34" i="2"/>
  <c r="D33" i="2"/>
  <c r="D32" i="2"/>
  <c r="D31" i="2"/>
  <c r="D31" i="5"/>
  <c r="D19" i="2"/>
  <c r="D28" i="2"/>
  <c r="D25" i="2"/>
  <c r="D24" i="2"/>
  <c r="D22" i="2"/>
  <c r="D20" i="2"/>
  <c r="J31" i="5"/>
  <c r="E9" i="2"/>
  <c r="E10" i="2"/>
  <c r="E11" i="2"/>
  <c r="E12" i="2"/>
  <c r="E7" i="2"/>
  <c r="E8" i="2"/>
  <c r="E31" i="5"/>
  <c r="C21" i="2" s="1"/>
  <c r="B21" i="2" s="1"/>
  <c r="D21" i="2"/>
  <c r="C37" i="2"/>
  <c r="B37" i="2" s="1"/>
  <c r="C36" i="2"/>
  <c r="B36" i="2" s="1"/>
  <c r="C35" i="2"/>
  <c r="B35" i="2" s="1"/>
  <c r="C33" i="2"/>
  <c r="B33" i="2" s="1"/>
  <c r="C34" i="2"/>
  <c r="B34" i="2" s="1"/>
  <c r="C28" i="2"/>
  <c r="B28" i="2" s="1"/>
  <c r="C25" i="2"/>
  <c r="B25" i="2" s="1"/>
  <c r="C24" i="2"/>
  <c r="B24" i="2" s="1"/>
  <c r="C20" i="2"/>
  <c r="B20" i="2" s="1"/>
  <c r="C19" i="2"/>
  <c r="B19" i="2" s="1"/>
  <c r="B8" i="1" s="1"/>
  <c r="C22" i="2" l="1"/>
  <c r="B22" i="2" s="1"/>
  <c r="C31" i="2"/>
  <c r="B31" i="2" s="1"/>
  <c r="C32" i="2"/>
  <c r="B32" i="2" s="1"/>
  <c r="C18" i="2"/>
  <c r="B18" i="2" s="1"/>
  <c r="C16" i="2"/>
  <c r="C17" i="2"/>
  <c r="I10" i="1" l="1"/>
  <c r="I9" i="1"/>
  <c r="I13" i="1"/>
  <c r="I15" i="1"/>
  <c r="I11" i="1"/>
  <c r="I12" i="1"/>
  <c r="I16" i="1"/>
  <c r="I14" i="1"/>
  <c r="I8" i="1"/>
  <c r="I17" i="1" l="1"/>
  <c r="E24" i="1" l="1"/>
  <c r="F24" i="1" s="1"/>
  <c r="E25" i="1"/>
  <c r="F25" i="1" s="1"/>
  <c r="E22" i="1"/>
  <c r="D29" i="1"/>
  <c r="D30" i="1" s="1"/>
  <c r="B29" i="1"/>
  <c r="C29" i="1"/>
  <c r="C30" i="1" s="1"/>
  <c r="E23" i="1"/>
  <c r="F23" i="1" s="1"/>
  <c r="F29" i="1"/>
  <c r="G38" i="1" l="1"/>
  <c r="K38" i="1"/>
  <c r="F38" i="1"/>
  <c r="M38" i="1"/>
  <c r="L38" i="1"/>
  <c r="H38" i="1"/>
  <c r="F22" i="1"/>
  <c r="E26" i="1"/>
  <c r="E29" i="1"/>
  <c r="B30" i="1"/>
  <c r="M40" i="1"/>
  <c r="K40" i="1"/>
  <c r="L40" i="1"/>
  <c r="G40" i="1"/>
  <c r="H40" i="1"/>
  <c r="F40" i="1"/>
  <c r="K39" i="1"/>
  <c r="L39" i="1"/>
  <c r="M39" i="1"/>
  <c r="G39" i="1"/>
  <c r="F39" i="1"/>
  <c r="H39" i="1"/>
  <c r="L37" i="1" l="1"/>
  <c r="F37" i="1"/>
  <c r="M37" i="1"/>
  <c r="Q40" i="1" s="1"/>
  <c r="D40" i="1" s="1"/>
  <c r="H37" i="1"/>
  <c r="K37" i="1"/>
  <c r="G37" i="1"/>
  <c r="F26" i="1"/>
  <c r="G24" i="1"/>
  <c r="G22" i="1"/>
  <c r="G25" i="1"/>
  <c r="G23" i="1"/>
  <c r="E30" i="1"/>
  <c r="F30" i="1"/>
  <c r="P40" i="1" l="1"/>
  <c r="C40" i="1" s="1"/>
  <c r="Q39" i="1"/>
  <c r="P39" i="1" l="1"/>
  <c r="O40" i="1"/>
  <c r="B40" i="1" s="1"/>
  <c r="Q38" i="1"/>
  <c r="D38" i="1" s="1"/>
  <c r="D39" i="1"/>
  <c r="O39" i="1" l="1"/>
  <c r="R39" i="1" s="1"/>
  <c r="R40" i="1"/>
  <c r="P38" i="1"/>
  <c r="O38" i="1" s="1"/>
  <c r="Q37" i="1"/>
  <c r="D37" i="1" s="1"/>
  <c r="Q41" i="1" l="1"/>
  <c r="P37" i="1"/>
  <c r="R38" i="1"/>
  <c r="O37" i="1" l="1"/>
  <c r="P41" i="1"/>
  <c r="B37" i="1" l="1"/>
  <c r="D49" i="1"/>
  <c r="D63" i="1" s="1"/>
  <c r="D48" i="1"/>
  <c r="D62" i="1" s="1"/>
  <c r="D50" i="1"/>
  <c r="D64" i="1" s="1"/>
  <c r="O41" i="1"/>
  <c r="R37" i="1"/>
  <c r="C38" i="1" l="1"/>
  <c r="C39" i="1"/>
  <c r="B39" i="1"/>
  <c r="C37" i="1"/>
  <c r="B38" i="1"/>
  <c r="G62" i="1"/>
  <c r="G64" i="1"/>
  <c r="G63" i="1"/>
  <c r="C50" i="1"/>
  <c r="C64" i="1" s="1"/>
  <c r="C48" i="1" l="1"/>
  <c r="C62" i="1" s="1"/>
  <c r="F62" i="1" s="1"/>
  <c r="F64" i="1"/>
  <c r="D47" i="1"/>
  <c r="D61" i="1" s="1"/>
  <c r="B48" i="1"/>
  <c r="B62" i="1" s="1"/>
  <c r="B50" i="1"/>
  <c r="B64" i="1" s="1"/>
  <c r="B49" i="1"/>
  <c r="B63" i="1" s="1"/>
  <c r="B47" i="1"/>
  <c r="B61" i="1" s="1"/>
  <c r="C49" i="1"/>
  <c r="C63" i="1" s="1"/>
  <c r="C47" i="1"/>
  <c r="C61" i="1" s="1"/>
  <c r="E38" i="1"/>
  <c r="E40" i="1"/>
  <c r="D41" i="1"/>
  <c r="C41" i="1"/>
  <c r="E39" i="1"/>
  <c r="E37" i="1"/>
  <c r="B41" i="1"/>
  <c r="E63" i="1" l="1"/>
  <c r="E61" i="1"/>
  <c r="E62" i="1"/>
  <c r="G61" i="1"/>
  <c r="F63" i="1"/>
  <c r="F61" i="1"/>
  <c r="E64" i="1"/>
  <c r="H65" i="1" l="1"/>
</calcChain>
</file>

<file path=xl/sharedStrings.xml><?xml version="1.0" encoding="utf-8"?>
<sst xmlns="http://schemas.openxmlformats.org/spreadsheetml/2006/main" count="351" uniqueCount="228">
  <si>
    <t>Housing Mitigation Worksheet</t>
  </si>
  <si>
    <t>LDR Rate</t>
  </si>
  <si>
    <t>Agriculture</t>
  </si>
  <si>
    <t>Outdoor Recreation</t>
  </si>
  <si>
    <t>Mobile Home</t>
  </si>
  <si>
    <t>Dormitory</t>
  </si>
  <si>
    <t>Group Home</t>
  </si>
  <si>
    <t>Conventional Lodging</t>
  </si>
  <si>
    <t>Short-Term Rental Unit</t>
  </si>
  <si>
    <t>Office</t>
  </si>
  <si>
    <t>Retail</t>
  </si>
  <si>
    <t>Service</t>
  </si>
  <si>
    <t>Restaurant/Bar</t>
  </si>
  <si>
    <t>Heavy Retail/Service</t>
  </si>
  <si>
    <t>Mini-Storage Warehouse</t>
  </si>
  <si>
    <t>Nursery</t>
  </si>
  <si>
    <t>Amusement</t>
  </si>
  <si>
    <t>Developed Recreation</t>
  </si>
  <si>
    <t>Outfitter/Tour Operator</t>
  </si>
  <si>
    <t>Adult Entertainment Business</t>
  </si>
  <si>
    <t>Assembly</t>
  </si>
  <si>
    <t>Daycare/Education</t>
  </si>
  <si>
    <t>Light Industry</t>
  </si>
  <si>
    <t>Heavy Industry</t>
  </si>
  <si>
    <t>Disposal</t>
  </si>
  <si>
    <t>Parking</t>
  </si>
  <si>
    <t>Utility Facility</t>
  </si>
  <si>
    <t>Wireless Communication Facilities</t>
  </si>
  <si>
    <t>Heliport</t>
  </si>
  <si>
    <t>Accessory Residential Unit</t>
  </si>
  <si>
    <t>Bed and Breakfast</t>
  </si>
  <si>
    <t>Home Occupation</t>
  </si>
  <si>
    <t>Home Business</t>
  </si>
  <si>
    <t>Family Home Daycare</t>
  </si>
  <si>
    <t>Home Daycare Center</t>
  </si>
  <si>
    <t>Drive-In Facility</t>
  </si>
  <si>
    <t>Christmas Tree Sales</t>
  </si>
  <si>
    <t>Real Estate Sales Office</t>
  </si>
  <si>
    <t>Temporary Shelter</t>
  </si>
  <si>
    <t>Farm Stand</t>
  </si>
  <si>
    <t>Temp. Gravel Extraction and Processing</t>
  </si>
  <si>
    <t>Use</t>
  </si>
  <si>
    <t>Rate</t>
  </si>
  <si>
    <t>Exempt</t>
  </si>
  <si>
    <t>Independent Calculation</t>
  </si>
  <si>
    <t>Affordable Units Required</t>
  </si>
  <si>
    <t>Total</t>
  </si>
  <si>
    <t>Affordable Housing Unit</t>
  </si>
  <si>
    <t>Workforce Housing Unit</t>
  </si>
  <si>
    <t>Detached Single-Family Unit (Unrestricted)</t>
  </si>
  <si>
    <t>Attached Single-Family Unit (Unrestricted)</t>
  </si>
  <si>
    <t>Apartment (Unrestricted)</t>
  </si>
  <si>
    <t>Detached Single-Family Unit (Local Occupancy)</t>
  </si>
  <si>
    <t>Attached Single-Family Unit (Local Occupancy)</t>
  </si>
  <si>
    <t>Apartment (Local Occupancy)</t>
  </si>
  <si>
    <t>Rental Units Affordable to Households making 50% Median Income</t>
  </si>
  <si>
    <t>Rental Units Affordable to Households making 80% Median Income</t>
  </si>
  <si>
    <t>Rental/Ownership Units Affordable to Households making 120% Median Income</t>
  </si>
  <si>
    <t>Rental/Ownership Workforce Units</t>
  </si>
  <si>
    <t>Affordability</t>
  </si>
  <si>
    <t>2 Bedroom</t>
  </si>
  <si>
    <t>3 Bedroom</t>
  </si>
  <si>
    <t>Affordable to 50% Median Income</t>
  </si>
  <si>
    <t>Affordable to 80% Median Income</t>
  </si>
  <si>
    <t>Affordable to 120% Median Income</t>
  </si>
  <si>
    <t>Workforce Restriction</t>
  </si>
  <si>
    <t>2 Bed</t>
  </si>
  <si>
    <t>3 Bed</t>
  </si>
  <si>
    <t>Bedroom Mix</t>
  </si>
  <si>
    <t>Proposed</t>
  </si>
  <si>
    <t>Construction</t>
  </si>
  <si>
    <t>?</t>
  </si>
  <si>
    <t>Institutional</t>
  </si>
  <si>
    <t>Industrial</t>
  </si>
  <si>
    <t>Lodging</t>
  </si>
  <si>
    <t>employees per unit</t>
  </si>
  <si>
    <t>Post-Construction</t>
  </si>
  <si>
    <t>employees per 1,000 sf/room</t>
  </si>
  <si>
    <t>units per 1,000 sf/room</t>
  </si>
  <si>
    <t>Length of Construction Career</t>
  </si>
  <si>
    <t>employees per 1,000 sf</t>
  </si>
  <si>
    <t>sf per room</t>
  </si>
  <si>
    <t>Fire/EMS employees per 1000 sf</t>
  </si>
  <si>
    <t>Fire/EMS units per 1000 sf</t>
  </si>
  <si>
    <t>Law employees per 1000 sf</t>
  </si>
  <si>
    <t>Law units per 1000 sf</t>
  </si>
  <si>
    <t>Fire/EMS</t>
  </si>
  <si>
    <t>Law Enforcement</t>
  </si>
  <si>
    <t>Employees who can afford</t>
  </si>
  <si>
    <t>employees who can afford</t>
  </si>
  <si>
    <t>Employees per 1000 sf/room</t>
  </si>
  <si>
    <t>0.204 * bedrooms</t>
  </si>
  <si>
    <t>Custom %</t>
  </si>
  <si>
    <t>Customization Rules</t>
  </si>
  <si>
    <t>LDR Schedule</t>
  </si>
  <si>
    <t>1 Bed/Studio</t>
  </si>
  <si>
    <t>Total Employees Housed</t>
  </si>
  <si>
    <t>Customization Rule</t>
  </si>
  <si>
    <t>Employees per Unit per LDRs</t>
  </si>
  <si>
    <t>Requirement Distribution</t>
  </si>
  <si>
    <t>Even Distribution</t>
  </si>
  <si>
    <t>Proposed Allocation</t>
  </si>
  <si>
    <t>Proposed Use Size (bedrooms)</t>
  </si>
  <si>
    <t>Proposed Use Size (sf)</t>
  </si>
  <si>
    <t>Proposed Use Quantity</t>
  </si>
  <si>
    <t>Proposed total sall be &gt;= Required</t>
  </si>
  <si>
    <t>Proposed totals shall be &gt;= Schedule totals</t>
  </si>
  <si>
    <t>Total Units</t>
  </si>
  <si>
    <t>Step 2. What types of units are required? The proposed LDRs lay out a schedule for how many units have to be in each income ranges and how many units have to have 1, 2, or 3 bedrooms. The LDRs also allow for adjustment. To propose an adjusted allocation, change the values in the proposed column/row (gold cells); the customized allocation must meet the customization rules provided, and may not result in less affordable workforce units provided than are required. If a rule is violated the cell will turn red. See also Section 6.3.4 of the proposed LDRs.</t>
  </si>
  <si>
    <t>Step 3. Distribute the affordability and bedroom mix. The bedroom mix must be proportionaly distributed among the affordability mix. If you modify the distribution (gold cells) the totals must match your allocation totals (they will turn red if they don't). A customized distribution should be within 1 (rounded up or down) of the even distribution. See also Section 6.3.4 of the proposed LDRs.</t>
  </si>
  <si>
    <t>Step 4. How will the required housing be provided? The proposed LDRs require that unlesss impractical any housing requirement of 1 unit or greater be provided through consturction of housing. If impractical the units my be provided by dedication of land, use of a banked unit, or restriction of an existing unit. Only as a last option shall a fee be paid. Enter the number of units to be constructed or provided through land dedication, use of a banked unit, or restriction of an existing unit (gold boxes). The in-lieu fee remaining will calculate. See also Section 6.3.5 of the proposed LDRs.</t>
  </si>
  <si>
    <t>Units Constructed</t>
  </si>
  <si>
    <t>Units Provided via Land Dedication</t>
  </si>
  <si>
    <t>Banked Units Used</t>
  </si>
  <si>
    <t>Existing Units Restricted</t>
  </si>
  <si>
    <t>Units Provided via In-Lieu Fee</t>
  </si>
  <si>
    <t>Fee</t>
  </si>
  <si>
    <t>Workorce Housing Bonus Unit</t>
  </si>
  <si>
    <t>Step 1. Describe your project. Enter as many rows as needed to discribe the different uses and unit types proposed. Select a use from the use table in the left most gold boxes. In the other gold boxes, descibe each use's size in floor area and bedrooms (if applicable), then describe how many units of each use type are proposed.The required affordable housing will calculate for each unit and populate the Total box. See also Sections 6.3.2 and 6.3.3 of the proposed LDRs.</t>
  </si>
  <si>
    <t>Nexus Study Calculation</t>
  </si>
  <si>
    <t>Requirement</t>
  </si>
  <si>
    <t>0.000017(sf) + (Exp(-15.49 + 1.59*Ln(sf)))/2.176</t>
  </si>
  <si>
    <t>0.000017(sf) + (Exp(-14.17 + 1.59*Ln(sf)))/2.176</t>
  </si>
  <si>
    <t>0.000017(sf) + (Exp(-16.14 + 1.59*Ln(sf)))/2.176</t>
  </si>
  <si>
    <t>0.000017(sf) + (Exp(-14.82 + 1.59*Ln(sf)))/2.176</t>
  </si>
  <si>
    <t>Yearround mitigation "rate"</t>
  </si>
  <si>
    <t>Reduction factor</t>
  </si>
  <si>
    <t>Required units per 1,000 sf/room</t>
  </si>
  <si>
    <t>Residential</t>
  </si>
  <si>
    <t>HOUSEHOLD INCOME IN THE PAST 12 MONTHS (IN 2016 INFLATION-ADJUSTED DOLLARS)</t>
  </si>
  <si>
    <t>Universe: Households</t>
  </si>
  <si>
    <t>2012-2016 American Community Survey 5-Year Estimates</t>
  </si>
  <si>
    <t>Teton County, Wyoming</t>
  </si>
  <si>
    <t>HMI ~ $75,000</t>
  </si>
  <si>
    <t>Estimate</t>
  </si>
  <si>
    <t>Total:</t>
  </si>
  <si>
    <t xml:space="preserve">  Less than $10,000</t>
  </si>
  <si>
    <t xml:space="preserve">  $10,000 to $14,999</t>
  </si>
  <si>
    <t xml:space="preserve">  $15,000 to $19,999</t>
  </si>
  <si>
    <t xml:space="preserve">  $20,000 to $24,999</t>
  </si>
  <si>
    <t xml:space="preserve">  $25,000 to $29,999</t>
  </si>
  <si>
    <t xml:space="preserve">  $30,000 to $34,999</t>
  </si>
  <si>
    <t xml:space="preserve">  $35,000 to $39,999</t>
  </si>
  <si>
    <t>$35,000 - $37,499</t>
  </si>
  <si>
    <t>$37,500 - $39,999</t>
  </si>
  <si>
    <t xml:space="preserve">  $40,000 to $44,999</t>
  </si>
  <si>
    <t xml:space="preserve">  $45,000 to $49,999</t>
  </si>
  <si>
    <t xml:space="preserve">  $50,000 to $59,999</t>
  </si>
  <si>
    <t xml:space="preserve">  $60,000 to $74,999</t>
  </si>
  <si>
    <t xml:space="preserve">  $75,000 to $99,999</t>
  </si>
  <si>
    <t xml:space="preserve">  $100,000 to $124,999</t>
  </si>
  <si>
    <t>$100,000 - $104,999</t>
  </si>
  <si>
    <t>$105,000 - $109,999</t>
  </si>
  <si>
    <t>$110,000 - $114,999</t>
  </si>
  <si>
    <t>$115,000 - $119,999</t>
  </si>
  <si>
    <t>$120,000 - $124,999</t>
  </si>
  <si>
    <t xml:space="preserve">  $125,000 to $149,999</t>
  </si>
  <si>
    <t xml:space="preserve">  $150,000 to $199,999</t>
  </si>
  <si>
    <t xml:space="preserve">  $200,000 or more</t>
  </si>
  <si>
    <t>Median = $75,594</t>
  </si>
  <si>
    <t>Custom % shall be ≥ 25%</t>
  </si>
  <si>
    <r>
      <t xml:space="preserve">Custom % shall be </t>
    </r>
    <r>
      <rPr>
        <sz val="11"/>
        <color theme="1"/>
        <rFont val="Calibri"/>
        <family val="2"/>
      </rPr>
      <t xml:space="preserve">≥ </t>
    </r>
    <r>
      <rPr>
        <sz val="11"/>
        <color theme="1"/>
        <rFont val="Calibri"/>
        <family val="2"/>
        <scheme val="minor"/>
      </rPr>
      <t>19%</t>
    </r>
  </si>
  <si>
    <t>Custom % shall be &lt; 43%</t>
  </si>
  <si>
    <r>
      <t xml:space="preserve">Custom % shall be </t>
    </r>
    <r>
      <rPr>
        <sz val="11"/>
        <color theme="1"/>
        <rFont val="Calibri"/>
        <family val="2"/>
      </rPr>
      <t>&lt; 13</t>
    </r>
    <r>
      <rPr>
        <sz val="11"/>
        <color theme="1"/>
        <rFont val="Calibri"/>
        <family val="2"/>
        <scheme val="minor"/>
      </rPr>
      <t>%</t>
    </r>
  </si>
  <si>
    <t>B08202: HOUSEHOLD SIZE BY NUMBER OF WORKERS IN HOUSEHOLD - Universe: Households</t>
  </si>
  <si>
    <t/>
  </si>
  <si>
    <t xml:space="preserve">    No workers</t>
  </si>
  <si>
    <t xml:space="preserve">    1 worker</t>
  </si>
  <si>
    <t xml:space="preserve">    2 workers</t>
  </si>
  <si>
    <t xml:space="preserve">    3 or more workers</t>
  </si>
  <si>
    <t xml:space="preserve">  1-person household:</t>
  </si>
  <si>
    <t>1 Bedroom</t>
  </si>
  <si>
    <t xml:space="preserve">  2-person household:</t>
  </si>
  <si>
    <t xml:space="preserve">  3-person household:</t>
  </si>
  <si>
    <t xml:space="preserve">    3 workers</t>
  </si>
  <si>
    <t xml:space="preserve">  4-or-more-person household:</t>
  </si>
  <si>
    <t>Assumed Employees per Bedroom</t>
  </si>
  <si>
    <t>Allocation</t>
  </si>
  <si>
    <t>174 N. King St.</t>
  </si>
  <si>
    <t>Grove Phase 2</t>
  </si>
  <si>
    <r>
      <t xml:space="preserve">Median Income by Persons in Household </t>
    </r>
    <r>
      <rPr>
        <sz val="11"/>
        <color rgb="FFC00000"/>
        <rFont val="Calibri"/>
        <family val="2"/>
        <scheme val="minor"/>
      </rPr>
      <t>(HUD)</t>
    </r>
  </si>
  <si>
    <t>Occupancy standards in Rules and Regulations</t>
  </si>
  <si>
    <t>Housing Department Applications as of 4/3/18</t>
  </si>
  <si>
    <t>Bedrooms</t>
  </si>
  <si>
    <t>Heads</t>
  </si>
  <si>
    <t>Dependents</t>
  </si>
  <si>
    <t>Dependants</t>
  </si>
  <si>
    <t>1 or 2</t>
  </si>
  <si>
    <t>0 or 1</t>
  </si>
  <si>
    <t>1+</t>
  </si>
  <si>
    <t>2+</t>
  </si>
  <si>
    <r>
      <rPr>
        <b/>
        <sz val="11"/>
        <color theme="1"/>
        <rFont val="Calibri"/>
        <family val="2"/>
        <scheme val="minor"/>
      </rPr>
      <t>Median Income</t>
    </r>
    <r>
      <rPr>
        <sz val="11"/>
        <color theme="1"/>
        <rFont val="Calibri"/>
        <family val="2"/>
        <scheme val="minor"/>
      </rPr>
      <t xml:space="preserve"> </t>
    </r>
    <r>
      <rPr>
        <sz val="11"/>
        <color rgb="FFC00000"/>
        <rFont val="Calibri"/>
        <family val="2"/>
        <scheme val="minor"/>
      </rPr>
      <t>(based on HUD Family Median Income for 2017 applied to housing department applications as of 4/3/18 based on Rules and Regulations occupancy requirements)</t>
    </r>
  </si>
  <si>
    <t>1 bed</t>
  </si>
  <si>
    <t>2 bed</t>
  </si>
  <si>
    <t>3 bed</t>
  </si>
  <si>
    <r>
      <t xml:space="preserve">Most Recent Housing Departement developments </t>
    </r>
    <r>
      <rPr>
        <sz val="11"/>
        <color rgb="FFC00000"/>
        <rFont val="Calibri"/>
        <family val="2"/>
        <scheme val="minor"/>
      </rPr>
      <t>(source: Housing Department)</t>
    </r>
  </si>
  <si>
    <t>Land</t>
  </si>
  <si>
    <t>Gross sf</t>
  </si>
  <si>
    <t>Livable sf</t>
  </si>
  <si>
    <t>Redmond Street Rentals</t>
  </si>
  <si>
    <t>Land was purchased in 2014 for $3,645,000, estmated value to day is about $4.5M.</t>
  </si>
  <si>
    <r>
      <t xml:space="preserve">Unit sizes in most recent Housing Department developments </t>
    </r>
    <r>
      <rPr>
        <sz val="11"/>
        <color rgb="FFC00000"/>
        <rFont val="Calibri"/>
        <family val="2"/>
        <scheme val="minor"/>
      </rPr>
      <t>(source: Housing Department)</t>
    </r>
  </si>
  <si>
    <t>Studio</t>
  </si>
  <si>
    <t>1 Bed</t>
  </si>
  <si>
    <t>174 N. King St</t>
  </si>
  <si>
    <t>Grove Phase 1</t>
  </si>
  <si>
    <t>designed as market units</t>
  </si>
  <si>
    <r>
      <t xml:space="preserve">Max Rental Rate </t>
    </r>
    <r>
      <rPr>
        <sz val="11"/>
        <color rgb="FFC00000"/>
        <rFont val="Calibri"/>
        <family val="2"/>
        <scheme val="minor"/>
      </rPr>
      <t>(based on Rules and Regulations that rent shall be based on low end of range spending 30% of income on rent, including utilities)</t>
    </r>
  </si>
  <si>
    <r>
      <t xml:space="preserve">Annual Utilities/HOA </t>
    </r>
    <r>
      <rPr>
        <sz val="11"/>
        <color rgb="FFC00000"/>
        <rFont val="Calibri"/>
        <family val="2"/>
        <scheme val="minor"/>
      </rPr>
      <t>(estimate)</t>
    </r>
  </si>
  <si>
    <r>
      <t xml:space="preserve">Cap Rate </t>
    </r>
    <r>
      <rPr>
        <sz val="11"/>
        <color rgb="FFC00000"/>
        <rFont val="Calibri"/>
        <family val="2"/>
        <scheme val="minor"/>
      </rPr>
      <t>(set by policy in LDRs based on reasonable industry standard)</t>
    </r>
  </si>
  <si>
    <r>
      <rPr>
        <b/>
        <sz val="11"/>
        <color theme="1"/>
        <rFont val="Calibri"/>
        <family val="2"/>
        <scheme val="minor"/>
      </rPr>
      <t>Maximum Sales Price</t>
    </r>
    <r>
      <rPr>
        <sz val="11"/>
        <color theme="1"/>
        <rFont val="Calibri"/>
        <family val="2"/>
        <scheme val="minor"/>
      </rPr>
      <t xml:space="preserve"> </t>
    </r>
    <r>
      <rPr>
        <sz val="11"/>
        <color rgb="FFC00000"/>
        <rFont val="Calibri"/>
        <family val="2"/>
        <scheme val="minor"/>
      </rPr>
      <t>(based on Rules and Regulations that sales price shall be based on the middle of the range and use the mortgage terms at right)</t>
    </r>
    <r>
      <rPr>
        <sz val="11"/>
        <color theme="1"/>
        <rFont val="Calibri"/>
        <family val="2"/>
        <scheme val="minor"/>
      </rPr>
      <t xml:space="preserve"> </t>
    </r>
  </si>
  <si>
    <t>percent of income toward mortgage payment</t>
  </si>
  <si>
    <t>percent down</t>
  </si>
  <si>
    <t>mortgage term</t>
  </si>
  <si>
    <t>2018 20-year average interest rate</t>
  </si>
  <si>
    <r>
      <rPr>
        <b/>
        <sz val="11"/>
        <color theme="1"/>
        <rFont val="Calibri"/>
        <family val="2"/>
        <scheme val="minor"/>
      </rPr>
      <t>Fee In-Lieu</t>
    </r>
    <r>
      <rPr>
        <sz val="11"/>
        <color theme="1"/>
        <rFont val="Calibri"/>
        <family val="2"/>
        <scheme val="minor"/>
      </rPr>
      <t xml:space="preserve"> </t>
    </r>
    <r>
      <rPr>
        <sz val="11"/>
        <color rgb="FFC00000"/>
        <rFont val="Calibri"/>
        <family val="2"/>
        <scheme val="minor"/>
      </rPr>
      <t>(based on 6.3.4.B.1.a-b that the lower income ranges must be rental and assuming the higher ranges will be sold)</t>
    </r>
  </si>
  <si>
    <t>Units</t>
  </si>
  <si>
    <t>Gross/Unit</t>
  </si>
  <si>
    <t>Livable/Unit</t>
  </si>
  <si>
    <t>Land/Gross</t>
  </si>
  <si>
    <t>Construct/Gross</t>
  </si>
  <si>
    <t>Total/Gross</t>
  </si>
  <si>
    <t>Land was purchased in 2010, $2,000,000 is the estmated value in 2018 based on comps, gross sf for land cost per gross sf includes 1915 sf of retail</t>
  </si>
  <si>
    <t>Gross/Livable</t>
  </si>
  <si>
    <r>
      <rPr>
        <b/>
        <sz val="11"/>
        <color theme="1"/>
        <rFont val="Calibri"/>
        <family val="2"/>
        <scheme val="minor"/>
      </rPr>
      <t>Average Livable Size</t>
    </r>
    <r>
      <rPr>
        <sz val="11"/>
        <color theme="1"/>
        <rFont val="Calibri"/>
        <family val="2"/>
        <scheme val="minor"/>
      </rPr>
      <t xml:space="preserve"> </t>
    </r>
    <r>
      <rPr>
        <sz val="11"/>
        <color rgb="FFC00000"/>
        <rFont val="Calibri"/>
        <family val="2"/>
        <scheme val="minor"/>
      </rPr>
      <t>(set by policy in LDRs, recent Housing Department developments at right for reference)</t>
    </r>
  </si>
  <si>
    <r>
      <rPr>
        <b/>
        <sz val="11"/>
        <color theme="1"/>
        <rFont val="Calibri"/>
        <family val="2"/>
        <scheme val="minor"/>
      </rPr>
      <t>Cost per Livable sf</t>
    </r>
    <r>
      <rPr>
        <sz val="11"/>
        <color theme="1"/>
        <rFont val="Calibri"/>
        <family val="2"/>
        <scheme val="minor"/>
      </rPr>
      <t xml:space="preserve"> </t>
    </r>
    <r>
      <rPr>
        <sz val="11"/>
        <color rgb="FFC00000"/>
        <rFont val="Calibri"/>
        <family val="2"/>
        <scheme val="minor"/>
      </rPr>
      <t>(based on most recent projects currently being developed, see equation)</t>
    </r>
  </si>
  <si>
    <t>Mini Storage</t>
  </si>
  <si>
    <t xml:space="preserve">Please use this worksheet to calculate the  affordable workfoce housing requirements as drafted June 26, 2018. Cells that can be modified are highlighted in gold, other cells are locked. If you modify a gold cell for one example, and wish to use the worksheet for another example, it is best to start with a fresh worksheet in order to reset the auto population equations for the gold cells.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</si>
</sst>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
    <numFmt numFmtId="165" formatCode="0.00000"/>
    <numFmt numFmtId="166" formatCode="0.000"/>
    <numFmt numFmtId="167" formatCode="_(&quot;$&quot;* #,##0_);_(&quot;$&quot;* \(#,##0\);_(&quot;$&quot;* &quot;-&quot;??_);_(@_)"/>
    <numFmt numFmtId="168" formatCode="0.000000"/>
    <numFmt numFmtId="169" formatCode="_(* #,##0_);_(* \(#,##0\);_(* &quot;-&quot;??_);_(@_)"/>
  </numFmts>
  <fonts count="22">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1"/>
      <name val="Calibri"/>
      <family val="2"/>
    </font>
    <font>
      <sz val="11"/>
      <color theme="7" tint="-0.499984740745262"/>
      <name val="Calibri"/>
      <family val="2"/>
      <scheme val="minor"/>
    </font>
    <font>
      <sz val="18"/>
      <color theme="1"/>
      <name val="Calibri"/>
      <family val="2"/>
      <scheme val="minor"/>
    </font>
    <font>
      <sz val="12"/>
      <color theme="1"/>
      <name val="Calibri"/>
      <family val="2"/>
      <scheme val="minor"/>
    </font>
    <font>
      <b/>
      <sz val="11"/>
      <color theme="7" tint="-0.499984740745262"/>
      <name val="Calibri"/>
      <family val="2"/>
      <scheme val="minor"/>
    </font>
    <font>
      <b/>
      <sz val="11"/>
      <name val="Calibri"/>
      <family val="2"/>
      <scheme val="minor"/>
    </font>
    <font>
      <b/>
      <sz val="11"/>
      <color theme="9" tint="-0.499984740745262"/>
      <name val="Calibri"/>
      <family val="2"/>
      <scheme val="minor"/>
    </font>
    <font>
      <sz val="11"/>
      <name val="Calibri"/>
      <family val="2"/>
      <scheme val="minor"/>
    </font>
    <font>
      <sz val="12"/>
      <name val="Calibri"/>
      <family val="2"/>
      <scheme val="minor"/>
    </font>
    <font>
      <sz val="10"/>
      <color theme="1"/>
      <name val="Arial"/>
      <family val="2"/>
    </font>
    <font>
      <sz val="10"/>
      <name val="Arial"/>
      <family val="2"/>
    </font>
    <font>
      <b/>
      <sz val="10"/>
      <color indexed="8"/>
      <name val="SansSerif"/>
    </font>
    <font>
      <sz val="10"/>
      <color indexed="8"/>
      <name val="SansSerif"/>
    </font>
    <font>
      <sz val="10"/>
      <color theme="3" tint="0.39997558519241921"/>
      <name val="SansSerif"/>
    </font>
    <font>
      <b/>
      <sz val="10"/>
      <name val="Arial"/>
      <family val="2"/>
    </font>
    <font>
      <sz val="11"/>
      <color rgb="FFC00000"/>
      <name val="Calibri"/>
      <family val="2"/>
      <scheme val="minor"/>
    </font>
    <font>
      <sz val="11"/>
      <color theme="0" tint="-0.14999847407452621"/>
      <name val="Calibri"/>
      <family val="2"/>
      <scheme val="minor"/>
    </font>
    <font>
      <b/>
      <sz val="11"/>
      <color theme="0" tint="-0.1499984740745262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theme="7"/>
      </left>
      <right style="thin">
        <color theme="7"/>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style="thin">
        <color theme="7"/>
      </right>
      <top/>
      <bottom style="thin">
        <color theme="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theme="7"/>
      </right>
      <top/>
      <bottom/>
      <diagonal/>
    </border>
    <border>
      <left style="thin">
        <color theme="7"/>
      </left>
      <right/>
      <top/>
      <bottom style="thin">
        <color theme="7"/>
      </bottom>
      <diagonal/>
    </border>
    <border>
      <left style="thin">
        <color theme="7"/>
      </left>
      <right/>
      <top style="thin">
        <color theme="7"/>
      </top>
      <bottom style="thin">
        <color theme="7"/>
      </bottom>
      <diagonal/>
    </border>
    <border>
      <left/>
      <right style="thin">
        <color theme="7"/>
      </right>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style="thin">
        <color indexed="64"/>
      </left>
      <right style="thin">
        <color indexed="64"/>
      </right>
      <top style="thin">
        <color indexed="64"/>
      </top>
      <bottom/>
      <diagonal/>
    </border>
    <border>
      <left/>
      <right style="thin">
        <color theme="7"/>
      </right>
      <top style="thin">
        <color theme="7"/>
      </top>
      <bottom/>
      <diagonal/>
    </border>
    <border>
      <left style="thin">
        <color theme="7"/>
      </left>
      <right style="thin">
        <color theme="7"/>
      </right>
      <top style="thin">
        <color theme="7"/>
      </top>
      <bottom/>
      <diagonal/>
    </border>
    <border>
      <left/>
      <right/>
      <top/>
      <bottom style="thin">
        <color theme="7"/>
      </bottom>
      <diagonal/>
    </border>
    <border>
      <left style="thin">
        <color indexed="64"/>
      </left>
      <right/>
      <top style="thin">
        <color indexed="64"/>
      </top>
      <bottom/>
      <diagonal/>
    </border>
    <border>
      <left/>
      <right/>
      <top style="thin">
        <color theme="7"/>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7"/>
      </right>
      <top style="thin">
        <color indexed="64"/>
      </top>
      <bottom style="thin">
        <color theme="7"/>
      </bottom>
      <diagonal/>
    </border>
    <border>
      <left style="thin">
        <color theme="7"/>
      </left>
      <right style="thin">
        <color theme="7"/>
      </right>
      <top style="thin">
        <color indexed="64"/>
      </top>
      <bottom style="thin">
        <color theme="7"/>
      </bottom>
      <diagonal/>
    </border>
    <border>
      <left style="thin">
        <color theme="7"/>
      </left>
      <right style="thin">
        <color indexed="64"/>
      </right>
      <top style="thin">
        <color indexed="64"/>
      </top>
      <bottom style="thin">
        <color theme="7"/>
      </bottom>
      <diagonal/>
    </border>
    <border>
      <left style="thin">
        <color indexed="64"/>
      </left>
      <right style="thin">
        <color theme="7"/>
      </right>
      <top style="thin">
        <color theme="7"/>
      </top>
      <bottom style="thin">
        <color theme="7"/>
      </bottom>
      <diagonal/>
    </border>
    <border>
      <left style="thin">
        <color theme="7"/>
      </left>
      <right style="thin">
        <color indexed="64"/>
      </right>
      <top style="thin">
        <color theme="7"/>
      </top>
      <bottom style="thin">
        <color theme="7"/>
      </bottom>
      <diagonal/>
    </border>
    <border>
      <left style="thin">
        <color indexed="64"/>
      </left>
      <right style="thin">
        <color theme="7"/>
      </right>
      <top style="thin">
        <color theme="7"/>
      </top>
      <bottom style="thin">
        <color indexed="64"/>
      </bottom>
      <diagonal/>
    </border>
    <border>
      <left style="thin">
        <color theme="7"/>
      </left>
      <right style="thin">
        <color theme="7"/>
      </right>
      <top style="thin">
        <color theme="7"/>
      </top>
      <bottom style="thin">
        <color indexed="64"/>
      </bottom>
      <diagonal/>
    </border>
    <border>
      <left style="thin">
        <color theme="7"/>
      </left>
      <right style="thin">
        <color indexed="64"/>
      </right>
      <top style="thin">
        <color theme="7"/>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79">
    <xf numFmtId="0" fontId="0" fillId="0" borderId="0" xfId="0"/>
    <xf numFmtId="0" fontId="1" fillId="0" borderId="0" xfId="0" applyFont="1" applyAlignment="1">
      <alignment vertical="center"/>
    </xf>
    <xf numFmtId="0" fontId="1" fillId="0" borderId="0" xfId="0" applyFont="1" applyAlignment="1">
      <alignment horizontal="left" vertical="top"/>
    </xf>
    <xf numFmtId="0" fontId="0" fillId="0" borderId="0" xfId="0" applyAlignment="1">
      <alignment wrapText="1"/>
    </xf>
    <xf numFmtId="0" fontId="0" fillId="0" borderId="0" xfId="0" applyAlignment="1">
      <alignment horizontal="right"/>
    </xf>
    <xf numFmtId="9" fontId="0" fillId="0" borderId="0" xfId="0" applyNumberFormat="1"/>
    <xf numFmtId="44" fontId="0" fillId="0" borderId="0" xfId="1" applyFont="1"/>
    <xf numFmtId="44" fontId="0" fillId="0" borderId="0" xfId="0" applyNumberFormat="1"/>
    <xf numFmtId="0" fontId="0" fillId="0" borderId="0" xfId="0" applyNumberFormat="1"/>
    <xf numFmtId="0" fontId="0" fillId="0" borderId="0" xfId="0" applyNumberFormat="1" applyAlignment="1">
      <alignment horizontal="right"/>
    </xf>
    <xf numFmtId="0" fontId="0" fillId="0" borderId="0" xfId="0" applyNumberFormat="1" applyAlignment="1">
      <alignment wrapText="1"/>
    </xf>
    <xf numFmtId="165" fontId="0" fillId="0" borderId="0" xfId="0" applyNumberFormat="1"/>
    <xf numFmtId="166" fontId="0" fillId="0" borderId="0" xfId="0" applyNumberFormat="1"/>
    <xf numFmtId="10" fontId="0" fillId="0" borderId="0" xfId="0" applyNumberFormat="1"/>
    <xf numFmtId="10" fontId="0" fillId="0" borderId="0" xfId="0" applyNumberFormat="1" applyAlignment="1">
      <alignment horizontal="right"/>
    </xf>
    <xf numFmtId="0" fontId="0" fillId="0" borderId="0" xfId="0" applyAlignment="1"/>
    <xf numFmtId="0" fontId="0" fillId="0" borderId="0" xfId="0" applyNumberFormat="1" applyAlignment="1"/>
    <xf numFmtId="168" fontId="0" fillId="0" borderId="0" xfId="0" applyNumberFormat="1"/>
    <xf numFmtId="0" fontId="0" fillId="0" borderId="0" xfId="0" applyFill="1"/>
    <xf numFmtId="0" fontId="5" fillId="3" borderId="10" xfId="0" applyFont="1" applyFill="1" applyBorder="1" applyProtection="1">
      <protection locked="0"/>
    </xf>
    <xf numFmtId="0" fontId="5" fillId="3" borderId="11" xfId="0" applyFont="1" applyFill="1" applyBorder="1" applyProtection="1">
      <protection locked="0"/>
    </xf>
    <xf numFmtId="0" fontId="5" fillId="3" borderId="14" xfId="0" applyFont="1" applyFill="1" applyBorder="1" applyProtection="1">
      <protection locked="0"/>
    </xf>
    <xf numFmtId="0" fontId="5" fillId="3" borderId="12" xfId="0" applyFont="1" applyFill="1" applyBorder="1" applyProtection="1">
      <protection locked="0"/>
    </xf>
    <xf numFmtId="0" fontId="5" fillId="3" borderId="4" xfId="0" applyFont="1" applyFill="1" applyBorder="1" applyProtection="1">
      <protection locked="0"/>
    </xf>
    <xf numFmtId="0" fontId="5" fillId="3" borderId="13" xfId="0" applyFont="1" applyFill="1" applyBorder="1" applyProtection="1">
      <protection locked="0"/>
    </xf>
    <xf numFmtId="0" fontId="5" fillId="3" borderId="2" xfId="0" applyFont="1" applyFill="1" applyBorder="1" applyProtection="1">
      <protection locked="0"/>
    </xf>
    <xf numFmtId="0" fontId="5" fillId="3" borderId="16" xfId="0" applyFont="1" applyFill="1" applyBorder="1" applyProtection="1">
      <protection locked="0"/>
    </xf>
    <xf numFmtId="0" fontId="5" fillId="3" borderId="17" xfId="0" applyFont="1" applyFill="1" applyBorder="1" applyProtection="1">
      <protection locked="0"/>
    </xf>
    <xf numFmtId="166" fontId="8" fillId="3" borderId="18" xfId="0" applyNumberFormat="1" applyFont="1" applyFill="1" applyBorder="1" applyProtection="1">
      <protection locked="0"/>
    </xf>
    <xf numFmtId="166" fontId="8" fillId="3" borderId="9" xfId="0" applyNumberFormat="1" applyFont="1" applyFill="1" applyBorder="1" applyProtection="1">
      <protection locked="0"/>
    </xf>
    <xf numFmtId="166" fontId="8" fillId="3" borderId="16" xfId="0" applyNumberFormat="1" applyFont="1" applyFill="1" applyBorder="1" applyProtection="1">
      <protection locked="0"/>
    </xf>
    <xf numFmtId="166" fontId="8" fillId="3" borderId="20" xfId="0" applyNumberFormat="1" applyFont="1" applyFill="1" applyBorder="1" applyProtection="1">
      <protection locked="0"/>
    </xf>
    <xf numFmtId="166" fontId="8" fillId="3" borderId="25" xfId="0" applyNumberFormat="1" applyFont="1" applyFill="1" applyBorder="1" applyProtection="1">
      <protection locked="0"/>
    </xf>
    <xf numFmtId="166" fontId="8" fillId="3" borderId="26" xfId="0" applyNumberFormat="1" applyFont="1" applyFill="1" applyBorder="1" applyProtection="1">
      <protection locked="0"/>
    </xf>
    <xf numFmtId="166" fontId="8" fillId="3" borderId="27" xfId="0" applyNumberFormat="1" applyFont="1" applyFill="1" applyBorder="1" applyProtection="1">
      <protection locked="0"/>
    </xf>
    <xf numFmtId="166" fontId="8" fillId="3" borderId="28" xfId="0" applyNumberFormat="1" applyFont="1" applyFill="1" applyBorder="1" applyProtection="1">
      <protection locked="0"/>
    </xf>
    <xf numFmtId="166" fontId="8" fillId="3" borderId="2" xfId="0" applyNumberFormat="1" applyFont="1" applyFill="1" applyBorder="1" applyProtection="1">
      <protection locked="0"/>
    </xf>
    <xf numFmtId="166" fontId="8" fillId="3" borderId="29" xfId="0" applyNumberFormat="1" applyFont="1" applyFill="1" applyBorder="1" applyProtection="1">
      <protection locked="0"/>
    </xf>
    <xf numFmtId="166" fontId="8" fillId="3" borderId="30" xfId="0" applyNumberFormat="1" applyFont="1" applyFill="1" applyBorder="1" applyProtection="1">
      <protection locked="0"/>
    </xf>
    <xf numFmtId="166" fontId="8" fillId="3" borderId="31" xfId="0" applyNumberFormat="1" applyFont="1" applyFill="1" applyBorder="1" applyProtection="1">
      <protection locked="0"/>
    </xf>
    <xf numFmtId="166" fontId="8" fillId="3" borderId="32" xfId="0" applyNumberFormat="1" applyFont="1" applyFill="1" applyBorder="1" applyProtection="1">
      <protection locked="0"/>
    </xf>
    <xf numFmtId="9" fontId="0" fillId="0" borderId="0" xfId="2" applyFont="1"/>
    <xf numFmtId="2" fontId="0" fillId="0" borderId="0" xfId="2" applyNumberFormat="1" applyFont="1"/>
    <xf numFmtId="0" fontId="13" fillId="0" borderId="0" xfId="0" applyFont="1" applyFill="1"/>
    <xf numFmtId="0" fontId="14" fillId="0" borderId="0" xfId="0" applyFont="1" applyFill="1"/>
    <xf numFmtId="0" fontId="16"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3"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horizontal="left" vertical="top" wrapText="1"/>
    </xf>
    <xf numFmtId="0" fontId="17" fillId="0" borderId="0" xfId="0" applyFont="1" applyFill="1" applyBorder="1" applyAlignment="1">
      <alignment horizontal="left" vertical="top" wrapText="1" indent="2"/>
    </xf>
    <xf numFmtId="9" fontId="14" fillId="0" borderId="0" xfId="2" applyFont="1" applyFill="1"/>
    <xf numFmtId="9" fontId="14" fillId="0" borderId="0" xfId="0" applyNumberFormat="1" applyFont="1" applyFill="1"/>
    <xf numFmtId="0" fontId="16" fillId="5" borderId="0" xfId="0" applyFont="1" applyFill="1" applyBorder="1" applyAlignment="1">
      <alignment vertical="top"/>
    </xf>
    <xf numFmtId="0" fontId="16" fillId="5" borderId="0" xfId="0" applyFont="1" applyFill="1" applyBorder="1" applyAlignment="1">
      <alignment vertical="top" wrapText="1"/>
    </xf>
    <xf numFmtId="0" fontId="18"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Fill="1" applyBorder="1" applyAlignment="1">
      <alignment horizontal="left" vertical="top"/>
    </xf>
    <xf numFmtId="0" fontId="16" fillId="0" borderId="0" xfId="0" applyFont="1" applyFill="1" applyBorder="1" applyAlignment="1">
      <alignment vertical="top"/>
    </xf>
    <xf numFmtId="3" fontId="16" fillId="0" borderId="0" xfId="0" applyNumberFormat="1" applyFont="1" applyFill="1" applyBorder="1" applyAlignment="1">
      <alignment vertical="top"/>
    </xf>
    <xf numFmtId="0" fontId="16" fillId="0" borderId="0" xfId="0" applyNumberFormat="1" applyFont="1" applyFill="1" applyBorder="1" applyAlignment="1">
      <alignment vertical="top"/>
    </xf>
    <xf numFmtId="0" fontId="16" fillId="0" borderId="0" xfId="0" applyFont="1" applyFill="1" applyBorder="1" applyAlignment="1">
      <alignment vertical="center"/>
    </xf>
    <xf numFmtId="0" fontId="0" fillId="0" borderId="0" xfId="0" applyBorder="1"/>
    <xf numFmtId="0" fontId="16" fillId="0" borderId="0" xfId="0" applyNumberFormat="1" applyFont="1" applyFill="1" applyBorder="1" applyAlignment="1">
      <alignment horizontal="left" vertical="top"/>
    </xf>
    <xf numFmtId="3" fontId="0" fillId="0" borderId="0" xfId="0" applyNumberFormat="1" applyAlignment="1">
      <alignment vertical="center"/>
    </xf>
    <xf numFmtId="0" fontId="3" fillId="0" borderId="0" xfId="0" applyFont="1"/>
    <xf numFmtId="167" fontId="0" fillId="0" borderId="0" xfId="1" applyNumberFormat="1" applyFont="1"/>
    <xf numFmtId="169" fontId="0" fillId="0" borderId="0" xfId="3" applyNumberFormat="1" applyFont="1"/>
    <xf numFmtId="44" fontId="0" fillId="0" borderId="0" xfId="1" applyNumberFormat="1" applyFont="1"/>
    <xf numFmtId="1" fontId="0" fillId="0" borderId="0" xfId="0" applyNumberFormat="1"/>
    <xf numFmtId="6" fontId="0" fillId="0" borderId="0" xfId="0" applyNumberFormat="1"/>
    <xf numFmtId="37" fontId="0" fillId="0" borderId="0" xfId="3" applyNumberFormat="1" applyFont="1" applyAlignment="1"/>
    <xf numFmtId="43" fontId="0" fillId="0" borderId="0" xfId="3" applyNumberFormat="1" applyFont="1"/>
    <xf numFmtId="39" fontId="0" fillId="0" borderId="0" xfId="3" applyNumberFormat="1" applyFont="1" applyAlignment="1"/>
    <xf numFmtId="3" fontId="0" fillId="0" borderId="0" xfId="0" applyNumberFormat="1"/>
    <xf numFmtId="0" fontId="15" fillId="0" borderId="0" xfId="0" applyFont="1" applyFill="1" applyBorder="1" applyAlignment="1">
      <alignment horizontal="left" vertical="top" wrapText="1"/>
    </xf>
    <xf numFmtId="0" fontId="14" fillId="0" borderId="0" xfId="0" applyFont="1" applyFill="1" applyAlignment="1">
      <alignment horizontal="left"/>
    </xf>
    <xf numFmtId="0" fontId="0" fillId="0" borderId="0" xfId="0" applyFill="1" applyAlignment="1">
      <alignment vertical="center"/>
    </xf>
    <xf numFmtId="0" fontId="0" fillId="0" borderId="0" xfId="0" applyFill="1" applyAlignment="1"/>
    <xf numFmtId="0" fontId="6" fillId="0" borderId="0" xfId="0" applyFont="1" applyProtection="1"/>
    <xf numFmtId="0" fontId="0" fillId="0" borderId="0" xfId="0" applyProtection="1"/>
    <xf numFmtId="0" fontId="11" fillId="0" borderId="0" xfId="0" applyFont="1" applyProtection="1"/>
    <xf numFmtId="0" fontId="0" fillId="0" borderId="0" xfId="0" applyFont="1" applyAlignment="1" applyProtection="1">
      <alignment horizontal="left" wrapText="1"/>
    </xf>
    <xf numFmtId="0" fontId="7" fillId="0" borderId="0" xfId="0" applyFont="1" applyProtection="1"/>
    <xf numFmtId="0" fontId="12" fillId="0" borderId="0" xfId="0" applyFont="1" applyProtection="1"/>
    <xf numFmtId="0" fontId="3" fillId="0" borderId="0" xfId="0" applyFont="1" applyAlignment="1" applyProtection="1">
      <alignment horizontal="left" wrapText="1"/>
    </xf>
    <xf numFmtId="0" fontId="0" fillId="0" borderId="0" xfId="0" applyFill="1" applyBorder="1" applyProtection="1"/>
    <xf numFmtId="0" fontId="0" fillId="0" borderId="0" xfId="0" applyFill="1" applyBorder="1" applyAlignment="1" applyProtection="1">
      <alignment horizontal="left"/>
    </xf>
    <xf numFmtId="0" fontId="0" fillId="0" borderId="0" xfId="0" applyFill="1" applyBorder="1" applyAlignment="1" applyProtection="1">
      <alignment wrapText="1"/>
    </xf>
    <xf numFmtId="0" fontId="3" fillId="0" borderId="0" xfId="0" applyFont="1" applyFill="1" applyBorder="1" applyAlignment="1" applyProtection="1">
      <alignment wrapText="1"/>
    </xf>
    <xf numFmtId="0" fontId="11" fillId="0" borderId="0" xfId="0" applyFont="1" applyFill="1" applyAlignment="1" applyProtection="1">
      <alignment wrapText="1"/>
    </xf>
    <xf numFmtId="0" fontId="11" fillId="0" borderId="0" xfId="0" applyFont="1" applyFill="1" applyProtection="1"/>
    <xf numFmtId="0" fontId="0" fillId="0" borderId="0" xfId="0" applyFill="1" applyProtection="1"/>
    <xf numFmtId="0" fontId="0" fillId="4" borderId="3" xfId="0" applyFill="1" applyBorder="1" applyProtection="1"/>
    <xf numFmtId="0" fontId="0" fillId="4" borderId="5" xfId="0" applyFill="1" applyBorder="1" applyAlignment="1" applyProtection="1">
      <alignment horizontal="left"/>
    </xf>
    <xf numFmtId="0" fontId="0" fillId="4" borderId="6" xfId="0" applyFill="1" applyBorder="1" applyAlignment="1" applyProtection="1">
      <alignment horizontal="left"/>
    </xf>
    <xf numFmtId="0" fontId="0" fillId="4" borderId="7" xfId="0" applyFill="1" applyBorder="1" applyAlignment="1" applyProtection="1">
      <alignment horizontal="left"/>
    </xf>
    <xf numFmtId="0" fontId="0" fillId="4" borderId="3" xfId="0" applyFill="1" applyBorder="1" applyAlignment="1" applyProtection="1">
      <alignment wrapText="1"/>
    </xf>
    <xf numFmtId="0" fontId="3" fillId="4" borderId="3" xfId="0" applyFont="1" applyFill="1" applyBorder="1" applyAlignment="1" applyProtection="1">
      <alignment wrapText="1"/>
    </xf>
    <xf numFmtId="0" fontId="11" fillId="0" borderId="0" xfId="0" applyFont="1" applyAlignment="1" applyProtection="1">
      <alignment wrapText="1"/>
    </xf>
    <xf numFmtId="0" fontId="0" fillId="0" borderId="3" xfId="0" applyBorder="1" applyAlignment="1" applyProtection="1">
      <alignment horizontal="left"/>
    </xf>
    <xf numFmtId="166" fontId="3" fillId="0" borderId="3" xfId="0" applyNumberFormat="1" applyFont="1" applyBorder="1" applyProtection="1"/>
    <xf numFmtId="166" fontId="11" fillId="0" borderId="0" xfId="0" applyNumberFormat="1" applyFont="1" applyProtection="1"/>
    <xf numFmtId="0" fontId="3" fillId="4" borderId="3" xfId="0" applyFont="1" applyFill="1" applyBorder="1" applyAlignment="1" applyProtection="1">
      <alignment horizontal="right"/>
    </xf>
    <xf numFmtId="166" fontId="10" fillId="2" borderId="1" xfId="0" applyNumberFormat="1" applyFont="1" applyFill="1" applyBorder="1" applyProtection="1"/>
    <xf numFmtId="0" fontId="0" fillId="4" borderId="3" xfId="0" applyFill="1" applyBorder="1" applyAlignment="1" applyProtection="1">
      <alignment horizontal="left"/>
    </xf>
    <xf numFmtId="0" fontId="0" fillId="0" borderId="3" xfId="0" applyBorder="1" applyAlignment="1" applyProtection="1">
      <alignment horizontal="right"/>
    </xf>
    <xf numFmtId="166" fontId="0" fillId="0" borderId="3" xfId="0" applyNumberFormat="1" applyFill="1" applyBorder="1" applyProtection="1"/>
    <xf numFmtId="9" fontId="0" fillId="0" borderId="3" xfId="0" applyNumberFormat="1" applyBorder="1" applyProtection="1"/>
    <xf numFmtId="0" fontId="0" fillId="0" borderId="3" xfId="0" applyBorder="1" applyProtection="1"/>
    <xf numFmtId="0" fontId="0" fillId="0" borderId="15" xfId="0" applyBorder="1" applyAlignment="1" applyProtection="1">
      <alignment horizontal="right"/>
    </xf>
    <xf numFmtId="166" fontId="0" fillId="0" borderId="15" xfId="0" applyNumberFormat="1" applyFill="1" applyBorder="1" applyProtection="1"/>
    <xf numFmtId="9" fontId="0" fillId="0" borderId="15" xfId="0" applyNumberFormat="1" applyBorder="1" applyProtection="1"/>
    <xf numFmtId="0" fontId="0" fillId="0" borderId="15" xfId="0" applyBorder="1" applyProtection="1"/>
    <xf numFmtId="0" fontId="0" fillId="4" borderId="3" xfId="0" applyFill="1" applyBorder="1" applyAlignment="1" applyProtection="1">
      <alignment horizontal="right"/>
    </xf>
    <xf numFmtId="166" fontId="0" fillId="4" borderId="3" xfId="0" applyNumberFormat="1" applyFill="1" applyBorder="1" applyProtection="1"/>
    <xf numFmtId="166" fontId="0" fillId="0" borderId="0" xfId="0" applyNumberFormat="1" applyProtection="1"/>
    <xf numFmtId="166" fontId="0" fillId="4" borderId="3" xfId="0" applyNumberFormat="1" applyFill="1" applyBorder="1" applyAlignment="1" applyProtection="1">
      <alignment wrapText="1"/>
    </xf>
    <xf numFmtId="0" fontId="0" fillId="0" borderId="3" xfId="0" applyBorder="1" applyAlignment="1" applyProtection="1">
      <alignment horizontal="right"/>
    </xf>
    <xf numFmtId="166" fontId="0" fillId="0" borderId="5" xfId="0" applyNumberFormat="1" applyFill="1" applyBorder="1" applyProtection="1"/>
    <xf numFmtId="166" fontId="0" fillId="0" borderId="3" xfId="0" applyNumberFormat="1" applyBorder="1" applyProtection="1"/>
    <xf numFmtId="166" fontId="0" fillId="0" borderId="3" xfId="0" applyNumberFormat="1" applyBorder="1" applyAlignment="1" applyProtection="1"/>
    <xf numFmtId="0" fontId="0" fillId="0" borderId="19" xfId="0" applyBorder="1" applyAlignment="1" applyProtection="1">
      <alignment horizontal="left" wrapText="1"/>
    </xf>
    <xf numFmtId="0" fontId="0" fillId="0" borderId="8" xfId="0" applyBorder="1" applyAlignment="1" applyProtection="1">
      <alignment horizontal="left" wrapText="1"/>
    </xf>
    <xf numFmtId="0" fontId="0" fillId="0" borderId="21" xfId="0" applyBorder="1" applyAlignment="1" applyProtection="1">
      <alignment horizontal="left" wrapText="1"/>
    </xf>
    <xf numFmtId="0" fontId="0" fillId="0" borderId="22" xfId="0" applyBorder="1" applyAlignment="1" applyProtection="1">
      <alignment horizontal="left" wrapText="1"/>
    </xf>
    <xf numFmtId="0" fontId="0" fillId="0" borderId="23" xfId="0" applyBorder="1" applyAlignment="1" applyProtection="1">
      <alignment horizontal="left" wrapText="1"/>
    </xf>
    <xf numFmtId="0" fontId="0" fillId="0" borderId="24" xfId="0" applyBorder="1" applyAlignment="1" applyProtection="1">
      <alignment horizontal="left" wrapText="1"/>
    </xf>
    <xf numFmtId="0" fontId="0" fillId="4" borderId="3" xfId="0" applyFill="1" applyBorder="1" applyAlignment="1" applyProtection="1">
      <alignment horizontal="right"/>
    </xf>
    <xf numFmtId="2" fontId="0" fillId="4" borderId="3" xfId="0" applyNumberFormat="1" applyFill="1" applyBorder="1" applyProtection="1"/>
    <xf numFmtId="2" fontId="0" fillId="4" borderId="5" xfId="0" applyNumberFormat="1" applyFill="1" applyBorder="1" applyProtection="1"/>
    <xf numFmtId="2" fontId="0" fillId="4" borderId="3" xfId="0" applyNumberFormat="1" applyFill="1" applyBorder="1" applyAlignment="1" applyProtection="1"/>
    <xf numFmtId="0" fontId="0" fillId="4" borderId="3" xfId="0" applyFill="1" applyBorder="1" applyAlignment="1" applyProtection="1"/>
    <xf numFmtId="0" fontId="0" fillId="4" borderId="5" xfId="0" applyFill="1" applyBorder="1" applyAlignment="1" applyProtection="1">
      <alignment horizontal="center" wrapText="1"/>
    </xf>
    <xf numFmtId="0" fontId="0" fillId="4" borderId="6" xfId="0" applyFill="1" applyBorder="1" applyAlignment="1" applyProtection="1">
      <alignment horizontal="center" wrapText="1"/>
    </xf>
    <xf numFmtId="0" fontId="0" fillId="4" borderId="7" xfId="0" applyFill="1" applyBorder="1" applyAlignment="1" applyProtection="1">
      <alignment horizontal="center" wrapText="1"/>
    </xf>
    <xf numFmtId="9" fontId="0" fillId="0" borderId="0" xfId="0" applyNumberFormat="1" applyProtection="1"/>
    <xf numFmtId="0" fontId="3" fillId="0" borderId="0" xfId="0" applyFont="1" applyFill="1" applyBorder="1" applyAlignment="1" applyProtection="1">
      <alignment horizontal="left" wrapText="1"/>
    </xf>
    <xf numFmtId="0" fontId="11" fillId="0" borderId="0" xfId="0" applyFont="1" applyAlignment="1" applyProtection="1">
      <alignment horizontal="right"/>
    </xf>
    <xf numFmtId="164" fontId="20" fillId="0" borderId="0" xfId="0" applyNumberFormat="1" applyFont="1" applyFill="1" applyBorder="1" applyProtection="1"/>
    <xf numFmtId="0" fontId="20" fillId="0" borderId="0" xfId="0" applyFont="1" applyFill="1" applyBorder="1" applyProtection="1"/>
    <xf numFmtId="166" fontId="21" fillId="0" borderId="0" xfId="0" applyNumberFormat="1" applyFont="1" applyFill="1" applyBorder="1" applyProtection="1"/>
    <xf numFmtId="166" fontId="20" fillId="0" borderId="0" xfId="0" applyNumberFormat="1" applyFont="1" applyFill="1" applyBorder="1" applyProtection="1"/>
    <xf numFmtId="1" fontId="0" fillId="4" borderId="3" xfId="0" applyNumberFormat="1" applyFill="1" applyBorder="1" applyProtection="1"/>
    <xf numFmtId="1" fontId="0" fillId="4" borderId="3" xfId="0" applyNumberFormat="1" applyFill="1" applyBorder="1" applyAlignment="1" applyProtection="1">
      <alignment horizontal="center"/>
    </xf>
    <xf numFmtId="2" fontId="0" fillId="0" borderId="0" xfId="0" applyNumberFormat="1" applyProtection="1"/>
    <xf numFmtId="2" fontId="11" fillId="0" borderId="0" xfId="0" applyNumberFormat="1" applyFont="1" applyProtection="1"/>
    <xf numFmtId="2" fontId="20" fillId="0" borderId="0" xfId="0" applyNumberFormat="1" applyFont="1" applyFill="1" applyBorder="1" applyProtection="1"/>
    <xf numFmtId="1" fontId="20" fillId="0" borderId="0" xfId="0" applyNumberFormat="1" applyFont="1" applyFill="1" applyBorder="1" applyProtection="1"/>
    <xf numFmtId="0" fontId="0" fillId="0" borderId="0" xfId="0" applyAlignment="1" applyProtection="1">
      <alignment horizontal="left"/>
    </xf>
    <xf numFmtId="0" fontId="0" fillId="0" borderId="33" xfId="0" applyFill="1" applyBorder="1" applyProtection="1"/>
    <xf numFmtId="0" fontId="0" fillId="0" borderId="33" xfId="0" applyFill="1" applyBorder="1" applyAlignment="1" applyProtection="1">
      <alignment horizontal="right"/>
    </xf>
    <xf numFmtId="0" fontId="0" fillId="0" borderId="0" xfId="0" applyAlignment="1" applyProtection="1">
      <alignment horizontal="right"/>
    </xf>
    <xf numFmtId="166" fontId="11" fillId="0" borderId="0" xfId="0" applyNumberFormat="1" applyFont="1" applyFill="1" applyBorder="1" applyProtection="1"/>
    <xf numFmtId="0" fontId="11" fillId="0" borderId="0" xfId="0" applyFont="1" applyFill="1" applyBorder="1" applyProtection="1"/>
    <xf numFmtId="0" fontId="0" fillId="0" borderId="6" xfId="0" applyFill="1" applyBorder="1" applyAlignment="1" applyProtection="1">
      <alignment horizontal="right"/>
    </xf>
    <xf numFmtId="166" fontId="8" fillId="0" borderId="23" xfId="0" applyNumberFormat="1" applyFont="1" applyFill="1" applyBorder="1" applyProtection="1"/>
    <xf numFmtId="166" fontId="8" fillId="0" borderId="0" xfId="0" applyNumberFormat="1" applyFont="1" applyFill="1" applyBorder="1" applyProtection="1"/>
    <xf numFmtId="0" fontId="0" fillId="4" borderId="36" xfId="0" applyFill="1" applyBorder="1" applyAlignment="1" applyProtection="1">
      <alignment horizontal="left"/>
    </xf>
    <xf numFmtId="0" fontId="0" fillId="4" borderId="34" xfId="0" applyFill="1" applyBorder="1" applyAlignment="1" applyProtection="1">
      <alignment horizontal="left"/>
    </xf>
    <xf numFmtId="0" fontId="0" fillId="0" borderId="5" xfId="0" applyBorder="1" applyProtection="1"/>
    <xf numFmtId="0" fontId="0" fillId="0" borderId="34" xfId="0" applyBorder="1" applyProtection="1"/>
    <xf numFmtId="166" fontId="0" fillId="0" borderId="5" xfId="0" applyNumberFormat="1" applyBorder="1" applyProtection="1"/>
    <xf numFmtId="166" fontId="0" fillId="0" borderId="6" xfId="0" applyNumberFormat="1" applyBorder="1" applyProtection="1"/>
    <xf numFmtId="166" fontId="0" fillId="0" borderId="36" xfId="0" applyNumberFormat="1" applyBorder="1" applyProtection="1"/>
    <xf numFmtId="167" fontId="9" fillId="0" borderId="34" xfId="1" applyNumberFormat="1" applyFont="1" applyFill="1" applyBorder="1" applyProtection="1"/>
    <xf numFmtId="167" fontId="9" fillId="0" borderId="3" xfId="1" applyNumberFormat="1" applyFont="1" applyFill="1" applyBorder="1" applyProtection="1"/>
    <xf numFmtId="167" fontId="0" fillId="4" borderId="3" xfId="1" applyNumberFormat="1" applyFont="1" applyFill="1" applyBorder="1" applyProtection="1"/>
    <xf numFmtId="166" fontId="9" fillId="0" borderId="0" xfId="0" applyNumberFormat="1" applyFont="1" applyFill="1" applyBorder="1" applyProtection="1"/>
    <xf numFmtId="167" fontId="0" fillId="4" borderId="15" xfId="1" applyNumberFormat="1" applyFont="1" applyFill="1" applyBorder="1" applyProtection="1"/>
    <xf numFmtId="0" fontId="0" fillId="4" borderId="5" xfId="0" applyFill="1" applyBorder="1" applyProtection="1"/>
    <xf numFmtId="0" fontId="0" fillId="4" borderId="6" xfId="0" applyFill="1" applyBorder="1" applyProtection="1"/>
    <xf numFmtId="0" fontId="0" fillId="4" borderId="36" xfId="0" applyFill="1" applyBorder="1" applyProtection="1"/>
    <xf numFmtId="167" fontId="0" fillId="4" borderId="35" xfId="1" applyNumberFormat="1" applyFont="1" applyFill="1" applyBorder="1" applyAlignment="1" applyProtection="1">
      <alignment horizontal="right"/>
    </xf>
    <xf numFmtId="167" fontId="0" fillId="4" borderId="6" xfId="1" applyNumberFormat="1" applyFont="1" applyFill="1" applyBorder="1" applyAlignment="1" applyProtection="1">
      <alignment horizontal="right"/>
    </xf>
    <xf numFmtId="167" fontId="3" fillId="4" borderId="1" xfId="1" applyNumberFormat="1" applyFont="1" applyFill="1" applyBorder="1" applyProtection="1"/>
    <xf numFmtId="1" fontId="11" fillId="0" borderId="0" xfId="0" applyNumberFormat="1" applyFont="1" applyFill="1" applyBorder="1" applyProtection="1"/>
    <xf numFmtId="167" fontId="0" fillId="0" borderId="0" xfId="1" applyNumberFormat="1" applyFont="1" applyProtection="1"/>
  </cellXfs>
  <cellStyles count="4">
    <cellStyle name="Comma" xfId="3" builtinId="3"/>
    <cellStyle name="Currency" xfId="1" builtinId="4"/>
    <cellStyle name="Normal" xfId="0" builtinId="0"/>
    <cellStyle name="Percent" xfId="2" builtinId="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5"/>
  <sheetViews>
    <sheetView tabSelected="1" workbookViewId="0">
      <selection activeCell="A7" sqref="A7"/>
    </sheetView>
  </sheetViews>
  <sheetFormatPr defaultRowHeight="15"/>
  <cols>
    <col min="1" max="1" width="44.28515625" style="81" customWidth="1"/>
    <col min="2" max="9" width="12" style="81" customWidth="1"/>
    <col min="10" max="12" width="10.85546875" style="82" customWidth="1"/>
    <col min="13" max="22" width="9.140625" style="82"/>
    <col min="23" max="16384" width="9.140625" style="81"/>
  </cols>
  <sheetData>
    <row r="1" spans="1:22" ht="23.25">
      <c r="A1" s="80" t="s">
        <v>0</v>
      </c>
    </row>
    <row r="2" spans="1:22" ht="45" customHeight="1">
      <c r="A2" s="83" t="s">
        <v>227</v>
      </c>
      <c r="B2" s="83"/>
      <c r="C2" s="83"/>
      <c r="D2" s="83"/>
      <c r="E2" s="83"/>
      <c r="F2" s="83"/>
      <c r="G2" s="83"/>
      <c r="H2" s="83"/>
      <c r="I2" s="83"/>
    </row>
    <row r="3" spans="1:22" s="84" customFormat="1" ht="15.75">
      <c r="J3" s="85"/>
      <c r="K3" s="85"/>
      <c r="L3" s="85"/>
      <c r="M3" s="85"/>
      <c r="N3" s="85"/>
      <c r="O3" s="85"/>
      <c r="P3" s="85"/>
      <c r="Q3" s="85"/>
      <c r="R3" s="85"/>
      <c r="S3" s="85"/>
      <c r="T3" s="85"/>
      <c r="U3" s="85"/>
      <c r="V3" s="85"/>
    </row>
    <row r="4" spans="1:22" ht="45" customHeight="1">
      <c r="A4" s="86" t="s">
        <v>118</v>
      </c>
      <c r="B4" s="86"/>
      <c r="C4" s="86"/>
      <c r="D4" s="86"/>
      <c r="E4" s="86"/>
      <c r="F4" s="86"/>
      <c r="G4" s="86"/>
      <c r="H4" s="86"/>
      <c r="I4" s="86"/>
    </row>
    <row r="5" spans="1:22" s="93" customFormat="1">
      <c r="A5" s="87"/>
      <c r="B5" s="88"/>
      <c r="C5" s="88"/>
      <c r="D5" s="88"/>
      <c r="E5" s="88"/>
      <c r="F5" s="89"/>
      <c r="G5" s="89"/>
      <c r="H5" s="89"/>
      <c r="I5" s="90"/>
      <c r="J5" s="91"/>
      <c r="K5" s="92"/>
      <c r="L5" s="92"/>
      <c r="M5" s="92"/>
      <c r="N5" s="92"/>
      <c r="O5" s="92"/>
      <c r="P5" s="92"/>
      <c r="Q5" s="92"/>
      <c r="R5" s="92"/>
      <c r="S5" s="92"/>
      <c r="T5" s="92"/>
      <c r="U5" s="92"/>
      <c r="V5" s="92"/>
    </row>
    <row r="6" spans="1:22" ht="45">
      <c r="A6" s="94" t="s">
        <v>41</v>
      </c>
      <c r="B6" s="95" t="s">
        <v>1</v>
      </c>
      <c r="C6" s="96"/>
      <c r="D6" s="96"/>
      <c r="E6" s="97"/>
      <c r="F6" s="98" t="s">
        <v>102</v>
      </c>
      <c r="G6" s="98" t="s">
        <v>103</v>
      </c>
      <c r="H6" s="98" t="s">
        <v>104</v>
      </c>
      <c r="I6" s="99" t="s">
        <v>45</v>
      </c>
      <c r="J6" s="100"/>
    </row>
    <row r="7" spans="1:22">
      <c r="A7" s="19"/>
      <c r="B7" s="101" t="str">
        <f>IF(OR(A7='Amount (6.3.3)'!$A$2,A7='Amount (6.3.3)'!$A$4,A7='Amount (6.3.3)'!$A$5,A7='Amount (6.3.3)'!$A$6,A7='Amount (6.3.3)'!$A$13,A7='Amount (6.3.3)'!$A$14,A7='Amount (6.3.3)'!$A$15,A7='Amount (6.3.3)'!$A$38,A7='Amount (6.3.3)'!$A$40,A7='Amount (6.3.3)'!$A$41,A7='Amount (6.3.3)'!$A$42,A7='Amount (6.3.3)'!$A$43,A7='Amount (6.3.3)'!$A$44,A7='Amount (6.3.3)'!$A$45,A7='Amount (6.3.3)'!$A$46,A7='Amount (6.3.3)'!$A$47,A7='Amount (6.3.3)'!$A$48,A7='Amount (6.3.3)'!$A$49),'Amount (6.3.3)'!$B$2,IF(OR(A7='Amount (6.3.3)'!$A$3,A7='Amount (6.3.3)'!$A$26,A7='Amount (6.3.3)'!$A$27),'Amount (6.3.3)'!$B$3,IF(A7='Amount (6.3.3)'!$A$7,'Amount (6.3.3)'!$B$7,IF(OR(A7='Amount (6.3.3)'!$A$8,A7='Amount (6.3.3)'!$A$9),'Amount (6.3.3)'!$B$8,IF(A7='Amount (6.3.3)'!$A$10,'Amount (6.3.3)'!$B$10,IF(OR(A7='Amount (6.3.3)'!$A$11,A7='Amount (6.3.3)'!$A$12),'Amount (6.3.3)'!$B$11,IF(OR(A7='Amount (6.3.3)'!$A$16,A7='Amount (6.3.3)'!$A$17,A7='Amount (6.3.3)'!$A$39),'Amount (6.3.3)'!$B$16,IF(OR(A7='Amount (6.3.3)'!$A$18),'Amount (6.3.3)'!$B$18,IF(OR(A7='Amount (6.3.3)'!$A$19,A7='Amount (6.3.3)'!$A$20,A7='Amount (6.3.3)'!$A$22,A7='Amount (6.3.3)'!$A$24,A7='Amount (6.3.3)'!$A$25,A7='Amount (6.3.3)'!$A$28),'Amount (6.3.3)'!$B$19,IF(OR(A7='Amount (6.3.3)'!$A$21),'Amount (6.3.3)'!$B$21,IF(OR(A7='Amount (6.3.3)'!$A$31,A7='Amount (6.3.3)'!$A$32,A7='Amount (6.3.3)'!$A$33,A7='Amount (6.3.3)'!$A$34,A7='Amount (6.3.3)'!$A$35,A7='Amount (6.3.3)'!$A$36,A7='Amount (6.3.3)'!$A$37),'Amount (6.3.3)'!$B$23,IF(OR(A7='Amount (6.3.3)'!$A$29,A7='Amount (6.3.3)'!$A$30),'Amount (6.3.3)'!$B$29,IF(OR(A7='Amount (6.3.3)'!$A$23),'Amount (6.3.3)'!$B$23,"")))))))))))))</f>
        <v/>
      </c>
      <c r="C7" s="101"/>
      <c r="D7" s="101"/>
      <c r="E7" s="101"/>
      <c r="F7" s="22"/>
      <c r="G7" s="23"/>
      <c r="H7" s="19"/>
      <c r="I7" s="102" t="str">
        <f>IF(B7='Amount (6.3.3)'!$B$2,0*G7,IF(B7='Amount (6.3.3)'!$B$3,"?",IF(B7='Amount (6.3.3)'!$B$7,H7*(Sheet5!$J$28/1000*G7+(EXP(-15.49+1.59*LN(G7)))/Sheet5!$K$13),IF(B7='Amount (6.3.3)'!$B$8,H7*(Sheet5!$J$28/1000*G7+(EXP(-14.17+1.59*LN(G7)))/Sheet5!$K$13),IF(B7='Amount (6.3.3)'!$B$10,H7*(Sheet5!$J$28/1000*G7+(EXP(-16.14+1.59*LN(G7)))/Sheet5!$K$13),IF(B7='Amount (6.3.3)'!$B$11,H7*(Sheet5!$J$28/1000*G7+(EXP(-14.82+1.59*LN(G7)))/Sheet5!$K$13),IF(B7='Amount (6.3.3)'!$B$16,H7*('Amount (6.3.3)'!$C$16*F7),IF(B7='Amount (6.3.3)'!$B$18,H7*('Amount (6.3.3)'!$C$18*G7),IF(B7='Amount (6.3.3)'!$B$19,H7*('Amount (6.3.3)'!$C$19*G7),IF(B7='Amount (6.3.3)'!$B$21,H7*('Amount (6.3.3)'!$C$21*G7),IF(B7='Amount (6.3.3)'!$B$23,H7*('Amount (6.3.3)'!$C$23*G7),IF(B7='Amount (6.3.3)'!$B$29,H7*('Amount (6.3.3)'!$C$29*G7),IF(B7='Amount (6.3.3)'!$B$23,H7*('Amount (6.3.3)'!$C$23*G7),"?")))))))))))))</f>
        <v>?</v>
      </c>
      <c r="L7" s="103"/>
    </row>
    <row r="8" spans="1:22">
      <c r="A8" s="20"/>
      <c r="B8" s="101" t="str">
        <f>IF(OR(A8='Amount (6.3.3)'!$A$2,A8='Amount (6.3.3)'!$A$4,A8='Amount (6.3.3)'!$A$5,A8='Amount (6.3.3)'!$A$6,A8='Amount (6.3.3)'!$A$13,A8='Amount (6.3.3)'!$A$14,A8='Amount (6.3.3)'!$A$15,A8='Amount (6.3.3)'!$A$38,A8='Amount (6.3.3)'!$A$40,A8='Amount (6.3.3)'!$A$41,A8='Amount (6.3.3)'!$A$42,A8='Amount (6.3.3)'!$A$43,A8='Amount (6.3.3)'!$A$44,A8='Amount (6.3.3)'!$A$45,A8='Amount (6.3.3)'!$A$46,A8='Amount (6.3.3)'!$A$47,A8='Amount (6.3.3)'!$A$48,A8='Amount (6.3.3)'!$A$49),'Amount (6.3.3)'!$B$2,IF(OR(A8='Amount (6.3.3)'!$A$3,A8='Amount (6.3.3)'!$A$26,A8='Amount (6.3.3)'!$A$27),'Amount (6.3.3)'!$B$3,IF(A8='Amount (6.3.3)'!$A$7,'Amount (6.3.3)'!$B$7,IF(OR(A8='Amount (6.3.3)'!$A$8,A8='Amount (6.3.3)'!$A$9),'Amount (6.3.3)'!$B$8,IF(A8='Amount (6.3.3)'!$A$10,'Amount (6.3.3)'!$B$10,IF(OR(A8='Amount (6.3.3)'!$A$11,A8='Amount (6.3.3)'!$A$12),'Amount (6.3.3)'!$B$11,IF(OR(A8='Amount (6.3.3)'!$A$16,A8='Amount (6.3.3)'!$A$17,A8='Amount (6.3.3)'!$A$39),'Amount (6.3.3)'!$B$16,IF(OR(A8='Amount (6.3.3)'!$A$18),'Amount (6.3.3)'!$B$18,IF(OR(A8='Amount (6.3.3)'!$A$19,A8='Amount (6.3.3)'!$A$20,A8='Amount (6.3.3)'!$A$22,A8='Amount (6.3.3)'!$A$24,A8='Amount (6.3.3)'!$A$25,A8='Amount (6.3.3)'!$A$28),'Amount (6.3.3)'!$B$19,IF(OR(A8='Amount (6.3.3)'!$A$21),'Amount (6.3.3)'!$B$21,IF(OR(A8='Amount (6.3.3)'!$A$31,A8='Amount (6.3.3)'!$A$32,A8='Amount (6.3.3)'!$A$33,A8='Amount (6.3.3)'!$A$34,A8='Amount (6.3.3)'!$A$35,A8='Amount (6.3.3)'!$A$36,A8='Amount (6.3.3)'!$A$37),'Amount (6.3.3)'!$B$23,IF(OR(A8='Amount (6.3.3)'!$A$29,A8='Amount (6.3.3)'!$A$30),'Amount (6.3.3)'!$B$29,IF(OR(A8='Amount (6.3.3)'!$A$23),'Amount (6.3.3)'!$B$23,"")))))))))))))</f>
        <v/>
      </c>
      <c r="C8" s="101"/>
      <c r="D8" s="101"/>
      <c r="E8" s="101"/>
      <c r="F8" s="24"/>
      <c r="G8" s="25"/>
      <c r="H8" s="20"/>
      <c r="I8" s="102" t="str">
        <f>IF(B8='Amount (6.3.3)'!$B$2,0*G8,IF(B8='Amount (6.3.3)'!$B$3,"?",IF(B8='Amount (6.3.3)'!$B$7,H8*(Sheet5!$J$28/1000*G8+(EXP(-15.49+1.59*LN(G8)))/Sheet5!$K$13),IF(B8='Amount (6.3.3)'!$B$8,H8*(Sheet5!$J$28/1000*G8+(EXP(-14.17+1.59*LN(G8)))/Sheet5!$K$13),IF(B8='Amount (6.3.3)'!$B$10,H8*(Sheet5!$J$28/1000*G8+(EXP(-16.14+1.59*LN(G8)))/Sheet5!$K$13),IF(B8='Amount (6.3.3)'!$B$11,H8*(Sheet5!$J$28/1000*G8+(EXP(-14.82+1.59*LN(G8)))/Sheet5!$K$13),IF(B8='Amount (6.3.3)'!$B$16,H8*('Amount (6.3.3)'!$C$16*F8),IF(B8='Amount (6.3.3)'!$B$18,H8*('Amount (6.3.3)'!$C$18*G8),IF(B8='Amount (6.3.3)'!$B$19,H8*('Amount (6.3.3)'!$C$19*G8),IF(B8='Amount (6.3.3)'!$B$21,H8*('Amount (6.3.3)'!$C$21*G8),IF(B8='Amount (6.3.3)'!$B$23,H8*('Amount (6.3.3)'!$C$23*G8),IF(B8='Amount (6.3.3)'!$B$29,H8*('Amount (6.3.3)'!$C$29*G8),IF(B8='Amount (6.3.3)'!$B$23,H8*('Amount (6.3.3)'!$C$23*G8),"?")))))))))))))</f>
        <v>?</v>
      </c>
      <c r="J8" s="103"/>
    </row>
    <row r="9" spans="1:22">
      <c r="A9" s="20"/>
      <c r="B9" s="101" t="str">
        <f>IF(OR(A9='Amount (6.3.3)'!$A$2,A9='Amount (6.3.3)'!$A$4,A9='Amount (6.3.3)'!$A$5,A9='Amount (6.3.3)'!$A$6,A9='Amount (6.3.3)'!$A$13,A9='Amount (6.3.3)'!$A$14,A9='Amount (6.3.3)'!$A$15,A9='Amount (6.3.3)'!$A$38,A9='Amount (6.3.3)'!$A$40,A9='Amount (6.3.3)'!$A$41,A9='Amount (6.3.3)'!$A$42,A9='Amount (6.3.3)'!$A$43,A9='Amount (6.3.3)'!$A$44,A9='Amount (6.3.3)'!$A$45,A9='Amount (6.3.3)'!$A$46,A9='Amount (6.3.3)'!$A$47,A9='Amount (6.3.3)'!$A$48,A9='Amount (6.3.3)'!$A$49),'Amount (6.3.3)'!$B$2,IF(OR(A9='Amount (6.3.3)'!$A$3,A9='Amount (6.3.3)'!$A$26,A9='Amount (6.3.3)'!$A$27),'Amount (6.3.3)'!$B$3,IF(A9='Amount (6.3.3)'!$A$7,'Amount (6.3.3)'!$B$7,IF(OR(A9='Amount (6.3.3)'!$A$8,A9='Amount (6.3.3)'!$A$9),'Amount (6.3.3)'!$B$8,IF(A9='Amount (6.3.3)'!$A$10,'Amount (6.3.3)'!$B$10,IF(OR(A9='Amount (6.3.3)'!$A$11,A9='Amount (6.3.3)'!$A$12),'Amount (6.3.3)'!$B$11,IF(OR(A9='Amount (6.3.3)'!$A$16,A9='Amount (6.3.3)'!$A$17,A9='Amount (6.3.3)'!$A$39),'Amount (6.3.3)'!$B$16,IF(OR(A9='Amount (6.3.3)'!$A$18),'Amount (6.3.3)'!$B$18,IF(OR(A9='Amount (6.3.3)'!$A$19,A9='Amount (6.3.3)'!$A$20,A9='Amount (6.3.3)'!$A$22,A9='Amount (6.3.3)'!$A$24,A9='Amount (6.3.3)'!$A$25,A9='Amount (6.3.3)'!$A$28),'Amount (6.3.3)'!$B$19,IF(OR(A9='Amount (6.3.3)'!$A$21),'Amount (6.3.3)'!$B$21,IF(OR(A9='Amount (6.3.3)'!$A$31,A9='Amount (6.3.3)'!$A$32,A9='Amount (6.3.3)'!$A$33,A9='Amount (6.3.3)'!$A$34,A9='Amount (6.3.3)'!$A$35,A9='Amount (6.3.3)'!$A$36,A9='Amount (6.3.3)'!$A$37),'Amount (6.3.3)'!$B$23,IF(OR(A9='Amount (6.3.3)'!$A$29,A9='Amount (6.3.3)'!$A$30),'Amount (6.3.3)'!$B$29,IF(OR(A9='Amount (6.3.3)'!$A$23),'Amount (6.3.3)'!$B$23,"")))))))))))))</f>
        <v/>
      </c>
      <c r="C9" s="101"/>
      <c r="D9" s="101"/>
      <c r="E9" s="101"/>
      <c r="F9" s="24"/>
      <c r="G9" s="25"/>
      <c r="H9" s="20"/>
      <c r="I9" s="102" t="str">
        <f>IF(B9='Amount (6.3.3)'!$B$2,0*G9,IF(B9='Amount (6.3.3)'!$B$3,"?",IF(B9='Amount (6.3.3)'!$B$7,H9*(Sheet5!$J$28/1000*G9+(EXP(-15.49+1.59*LN(G9)))/Sheet5!$K$13),IF(B9='Amount (6.3.3)'!$B$8,H9*(Sheet5!$J$28/1000*G9+(EXP(-14.17+1.59*LN(G9)))/Sheet5!$K$13),IF(B9='Amount (6.3.3)'!$B$10,H9*(Sheet5!$J$28/1000*G9+(EXP(-16.14+1.59*LN(G9)))/Sheet5!$K$13),IF(B9='Amount (6.3.3)'!$B$11,H9*(Sheet5!$J$28/1000*G9+(EXP(-14.82+1.59*LN(G9)))/Sheet5!$K$13),IF(B9='Amount (6.3.3)'!$B$16,H9*('Amount (6.3.3)'!$C$16*F9),IF(B9='Amount (6.3.3)'!$B$18,H9*('Amount (6.3.3)'!$C$18*G9),IF(B9='Amount (6.3.3)'!$B$19,H9*('Amount (6.3.3)'!$C$19*G9),IF(B9='Amount (6.3.3)'!$B$21,H9*('Amount (6.3.3)'!$C$21*G9),IF(B9='Amount (6.3.3)'!$B$23,H9*('Amount (6.3.3)'!$C$23*G9),IF(B9='Amount (6.3.3)'!$B$29,H9*('Amount (6.3.3)'!$C$29*G9),IF(B9='Amount (6.3.3)'!$B$23,H9*('Amount (6.3.3)'!$C$23*G9),"?")))))))))))))</f>
        <v>?</v>
      </c>
    </row>
    <row r="10" spans="1:22">
      <c r="A10" s="20"/>
      <c r="B10" s="101" t="str">
        <f>IF(OR(A10='Amount (6.3.3)'!$A$2,A10='Amount (6.3.3)'!$A$4,A10='Amount (6.3.3)'!$A$5,A10='Amount (6.3.3)'!$A$6,A10='Amount (6.3.3)'!$A$13,A10='Amount (6.3.3)'!$A$14,A10='Amount (6.3.3)'!$A$15,A10='Amount (6.3.3)'!$A$38,A10='Amount (6.3.3)'!$A$40,A10='Amount (6.3.3)'!$A$41,A10='Amount (6.3.3)'!$A$42,A10='Amount (6.3.3)'!$A$43,A10='Amount (6.3.3)'!$A$44,A10='Amount (6.3.3)'!$A$45,A10='Amount (6.3.3)'!$A$46,A10='Amount (6.3.3)'!$A$47,A10='Amount (6.3.3)'!$A$48,A10='Amount (6.3.3)'!$A$49),'Amount (6.3.3)'!$B$2,IF(OR(A10='Amount (6.3.3)'!$A$3,A10='Amount (6.3.3)'!$A$26,A10='Amount (6.3.3)'!$A$27),'Amount (6.3.3)'!$B$3,IF(A10='Amount (6.3.3)'!$A$7,'Amount (6.3.3)'!$B$7,IF(OR(A10='Amount (6.3.3)'!$A$8,A10='Amount (6.3.3)'!$A$9),'Amount (6.3.3)'!$B$8,IF(A10='Amount (6.3.3)'!$A$10,'Amount (6.3.3)'!$B$10,IF(OR(A10='Amount (6.3.3)'!$A$11,A10='Amount (6.3.3)'!$A$12),'Amount (6.3.3)'!$B$11,IF(OR(A10='Amount (6.3.3)'!$A$16,A10='Amount (6.3.3)'!$A$17,A10='Amount (6.3.3)'!$A$39),'Amount (6.3.3)'!$B$16,IF(OR(A10='Amount (6.3.3)'!$A$18),'Amount (6.3.3)'!$B$18,IF(OR(A10='Amount (6.3.3)'!$A$19,A10='Amount (6.3.3)'!$A$20,A10='Amount (6.3.3)'!$A$22,A10='Amount (6.3.3)'!$A$24,A10='Amount (6.3.3)'!$A$25,A10='Amount (6.3.3)'!$A$28),'Amount (6.3.3)'!$B$19,IF(OR(A10='Amount (6.3.3)'!$A$21),'Amount (6.3.3)'!$B$21,IF(OR(A10='Amount (6.3.3)'!$A$31,A10='Amount (6.3.3)'!$A$32,A10='Amount (6.3.3)'!$A$33,A10='Amount (6.3.3)'!$A$34,A10='Amount (6.3.3)'!$A$35,A10='Amount (6.3.3)'!$A$36,A10='Amount (6.3.3)'!$A$37),'Amount (6.3.3)'!$B$23,IF(OR(A10='Amount (6.3.3)'!$A$29,A10='Amount (6.3.3)'!$A$30),'Amount (6.3.3)'!$B$29,IF(OR(A10='Amount (6.3.3)'!$A$23),'Amount (6.3.3)'!$B$23,"")))))))))))))</f>
        <v/>
      </c>
      <c r="C10" s="101"/>
      <c r="D10" s="101"/>
      <c r="E10" s="101"/>
      <c r="F10" s="24"/>
      <c r="G10" s="25"/>
      <c r="H10" s="20"/>
      <c r="I10" s="102" t="str">
        <f>IF(B10='Amount (6.3.3)'!$B$2,0*G10,IF(B10='Amount (6.3.3)'!$B$3,"?",IF(B10='Amount (6.3.3)'!$B$7,H10*(Sheet5!$J$28/1000*G10+(EXP(-15.49+1.59*LN(G10)))/Sheet5!$K$13),IF(B10='Amount (6.3.3)'!$B$8,H10*(Sheet5!$J$28/1000*G10+(EXP(-14.17+1.59*LN(G10)))/Sheet5!$K$13),IF(B10='Amount (6.3.3)'!$B$10,H10*(Sheet5!$J$28/1000*G10+(EXP(-16.14+1.59*LN(G10)))/Sheet5!$K$13),IF(B10='Amount (6.3.3)'!$B$11,H10*(Sheet5!$J$28/1000*G10+(EXP(-14.82+1.59*LN(G10)))/Sheet5!$K$13),IF(B10='Amount (6.3.3)'!$B$16,H10*('Amount (6.3.3)'!$C$16*F10),IF(B10='Amount (6.3.3)'!$B$18,H10*('Amount (6.3.3)'!$C$18*G10),IF(B10='Amount (6.3.3)'!$B$19,H10*('Amount (6.3.3)'!$C$19*G10),IF(B10='Amount (6.3.3)'!$B$21,H10*('Amount (6.3.3)'!$C$21*G10),IF(B10='Amount (6.3.3)'!$B$23,H10*('Amount (6.3.3)'!$C$23*G10),IF(B10='Amount (6.3.3)'!$B$29,H10*('Amount (6.3.3)'!$C$29*G10),IF(B10='Amount (6.3.3)'!$B$23,H10*('Amount (6.3.3)'!$C$23*G10),"?")))))))))))))</f>
        <v>?</v>
      </c>
    </row>
    <row r="11" spans="1:22">
      <c r="A11" s="20"/>
      <c r="B11" s="101" t="str">
        <f>IF(OR(A11='Amount (6.3.3)'!$A$2,A11='Amount (6.3.3)'!$A$4,A11='Amount (6.3.3)'!$A$5,A11='Amount (6.3.3)'!$A$6,A11='Amount (6.3.3)'!$A$13,A11='Amount (6.3.3)'!$A$14,A11='Amount (6.3.3)'!$A$15,A11='Amount (6.3.3)'!$A$38,A11='Amount (6.3.3)'!$A$40,A11='Amount (6.3.3)'!$A$41,A11='Amount (6.3.3)'!$A$42,A11='Amount (6.3.3)'!$A$43,A11='Amount (6.3.3)'!$A$44,A11='Amount (6.3.3)'!$A$45,A11='Amount (6.3.3)'!$A$46,A11='Amount (6.3.3)'!$A$47,A11='Amount (6.3.3)'!$A$48,A11='Amount (6.3.3)'!$A$49),'Amount (6.3.3)'!$B$2,IF(OR(A11='Amount (6.3.3)'!$A$3,A11='Amount (6.3.3)'!$A$26,A11='Amount (6.3.3)'!$A$27),'Amount (6.3.3)'!$B$3,IF(A11='Amount (6.3.3)'!$A$7,'Amount (6.3.3)'!$B$7,IF(OR(A11='Amount (6.3.3)'!$A$8,A11='Amount (6.3.3)'!$A$9),'Amount (6.3.3)'!$B$8,IF(A11='Amount (6.3.3)'!$A$10,'Amount (6.3.3)'!$B$10,IF(OR(A11='Amount (6.3.3)'!$A$11,A11='Amount (6.3.3)'!$A$12),'Amount (6.3.3)'!$B$11,IF(OR(A11='Amount (6.3.3)'!$A$16,A11='Amount (6.3.3)'!$A$17,A11='Amount (6.3.3)'!$A$39),'Amount (6.3.3)'!$B$16,IF(OR(A11='Amount (6.3.3)'!$A$18),'Amount (6.3.3)'!$B$18,IF(OR(A11='Amount (6.3.3)'!$A$19,A11='Amount (6.3.3)'!$A$20,A11='Amount (6.3.3)'!$A$22,A11='Amount (6.3.3)'!$A$24,A11='Amount (6.3.3)'!$A$25,A11='Amount (6.3.3)'!$A$28),'Amount (6.3.3)'!$B$19,IF(OR(A11='Amount (6.3.3)'!$A$21),'Amount (6.3.3)'!$B$21,IF(OR(A11='Amount (6.3.3)'!$A$31,A11='Amount (6.3.3)'!$A$32,A11='Amount (6.3.3)'!$A$33,A11='Amount (6.3.3)'!$A$34,A11='Amount (6.3.3)'!$A$35,A11='Amount (6.3.3)'!$A$36,A11='Amount (6.3.3)'!$A$37),'Amount (6.3.3)'!$B$23,IF(OR(A11='Amount (6.3.3)'!$A$29,A11='Amount (6.3.3)'!$A$30),'Amount (6.3.3)'!$B$29,IF(OR(A11='Amount (6.3.3)'!$A$23),'Amount (6.3.3)'!$B$23,"")))))))))))))</f>
        <v/>
      </c>
      <c r="C11" s="101"/>
      <c r="D11" s="101"/>
      <c r="E11" s="101"/>
      <c r="F11" s="24"/>
      <c r="G11" s="25"/>
      <c r="H11" s="20"/>
      <c r="I11" s="102" t="str">
        <f>IF(B11='Amount (6.3.3)'!$B$2,0*G11,IF(B11='Amount (6.3.3)'!$B$3,"?",IF(B11='Amount (6.3.3)'!$B$7,H11*(Sheet5!$J$28/1000*G11+(EXP(-15.49+1.59*LN(G11)))/Sheet5!$K$13),IF(B11='Amount (6.3.3)'!$B$8,H11*(Sheet5!$J$28/1000*G11+(EXP(-14.17+1.59*LN(G11)))/Sheet5!$K$13),IF(B11='Amount (6.3.3)'!$B$10,H11*(Sheet5!$J$28/1000*G11+(EXP(-16.14+1.59*LN(G11)))/Sheet5!$K$13),IF(B11='Amount (6.3.3)'!$B$11,H11*(Sheet5!$J$28/1000*G11+(EXP(-14.82+1.59*LN(G11)))/Sheet5!$K$13),IF(B11='Amount (6.3.3)'!$B$16,H11*('Amount (6.3.3)'!$C$16*F11),IF(B11='Amount (6.3.3)'!$B$18,H11*('Amount (6.3.3)'!$C$18*G11),IF(B11='Amount (6.3.3)'!$B$19,H11*('Amount (6.3.3)'!$C$19*G11),IF(B11='Amount (6.3.3)'!$B$21,H11*('Amount (6.3.3)'!$C$21*G11),IF(B11='Amount (6.3.3)'!$B$23,H11*('Amount (6.3.3)'!$C$23*G11),IF(B11='Amount (6.3.3)'!$B$29,H11*('Amount (6.3.3)'!$C$29*G11),IF(B11='Amount (6.3.3)'!$B$23,H11*('Amount (6.3.3)'!$C$23*G11),"?")))))))))))))</f>
        <v>?</v>
      </c>
      <c r="N11" s="103"/>
    </row>
    <row r="12" spans="1:22">
      <c r="A12" s="20"/>
      <c r="B12" s="101" t="str">
        <f>IF(OR(A12='Amount (6.3.3)'!$A$2,A12='Amount (6.3.3)'!$A$4,A12='Amount (6.3.3)'!$A$5,A12='Amount (6.3.3)'!$A$6,A12='Amount (6.3.3)'!$A$13,A12='Amount (6.3.3)'!$A$14,A12='Amount (6.3.3)'!$A$15,A12='Amount (6.3.3)'!$A$38,A12='Amount (6.3.3)'!$A$40,A12='Amount (6.3.3)'!$A$41,A12='Amount (6.3.3)'!$A$42,A12='Amount (6.3.3)'!$A$43,A12='Amount (6.3.3)'!$A$44,A12='Amount (6.3.3)'!$A$45,A12='Amount (6.3.3)'!$A$46,A12='Amount (6.3.3)'!$A$47,A12='Amount (6.3.3)'!$A$48,A12='Amount (6.3.3)'!$A$49),'Amount (6.3.3)'!$B$2,IF(OR(A12='Amount (6.3.3)'!$A$3,A12='Amount (6.3.3)'!$A$26,A12='Amount (6.3.3)'!$A$27),'Amount (6.3.3)'!$B$3,IF(A12='Amount (6.3.3)'!$A$7,'Amount (6.3.3)'!$B$7,IF(OR(A12='Amount (6.3.3)'!$A$8,A12='Amount (6.3.3)'!$A$9),'Amount (6.3.3)'!$B$8,IF(A12='Amount (6.3.3)'!$A$10,'Amount (6.3.3)'!$B$10,IF(OR(A12='Amount (6.3.3)'!$A$11,A12='Amount (6.3.3)'!$A$12),'Amount (6.3.3)'!$B$11,IF(OR(A12='Amount (6.3.3)'!$A$16,A12='Amount (6.3.3)'!$A$17,A12='Amount (6.3.3)'!$A$39),'Amount (6.3.3)'!$B$16,IF(OR(A12='Amount (6.3.3)'!$A$18),'Amount (6.3.3)'!$B$18,IF(OR(A12='Amount (6.3.3)'!$A$19,A12='Amount (6.3.3)'!$A$20,A12='Amount (6.3.3)'!$A$22,A12='Amount (6.3.3)'!$A$24,A12='Amount (6.3.3)'!$A$25,A12='Amount (6.3.3)'!$A$28),'Amount (6.3.3)'!$B$19,IF(OR(A12='Amount (6.3.3)'!$A$21),'Amount (6.3.3)'!$B$21,IF(OR(A12='Amount (6.3.3)'!$A$31,A12='Amount (6.3.3)'!$A$32,A12='Amount (6.3.3)'!$A$33,A12='Amount (6.3.3)'!$A$34,A12='Amount (6.3.3)'!$A$35,A12='Amount (6.3.3)'!$A$36,A12='Amount (6.3.3)'!$A$37),'Amount (6.3.3)'!$B$23,IF(OR(A12='Amount (6.3.3)'!$A$29,A12='Amount (6.3.3)'!$A$30),'Amount (6.3.3)'!$B$29,IF(OR(A12='Amount (6.3.3)'!$A$23),'Amount (6.3.3)'!$B$23,"")))))))))))))</f>
        <v/>
      </c>
      <c r="C12" s="101"/>
      <c r="D12" s="101"/>
      <c r="E12" s="101"/>
      <c r="F12" s="24"/>
      <c r="G12" s="25"/>
      <c r="H12" s="20"/>
      <c r="I12" s="102" t="str">
        <f>IF(B12='Amount (6.3.3)'!$B$2,0*G12,IF(B12='Amount (6.3.3)'!$B$3,"?",IF(B12='Amount (6.3.3)'!$B$7,H12*(Sheet5!$J$28/1000*G12+(EXP(-15.49+1.59*LN(G12)))/Sheet5!$K$13),IF(B12='Amount (6.3.3)'!$B$8,H12*(Sheet5!$J$28/1000*G12+(EXP(-14.17+1.59*LN(G12)))/Sheet5!$K$13),IF(B12='Amount (6.3.3)'!$B$10,H12*(Sheet5!$J$28/1000*G12+(EXP(-16.14+1.59*LN(G12)))/Sheet5!$K$13),IF(B12='Amount (6.3.3)'!$B$11,H12*(Sheet5!$J$28/1000*G12+(EXP(-14.82+1.59*LN(G12)))/Sheet5!$K$13),IF(B12='Amount (6.3.3)'!$B$16,H12*('Amount (6.3.3)'!$C$16*F12),IF(B12='Amount (6.3.3)'!$B$18,H12*('Amount (6.3.3)'!$C$18*G12),IF(B12='Amount (6.3.3)'!$B$19,H12*('Amount (6.3.3)'!$C$19*G12),IF(B12='Amount (6.3.3)'!$B$21,H12*('Amount (6.3.3)'!$C$21*G12),IF(B12='Amount (6.3.3)'!$B$23,H12*('Amount (6.3.3)'!$C$23*G12),IF(B12='Amount (6.3.3)'!$B$29,H12*('Amount (6.3.3)'!$C$29*G12),IF(B12='Amount (6.3.3)'!$B$23,H12*('Amount (6.3.3)'!$C$23*G12),"?")))))))))))))</f>
        <v>?</v>
      </c>
      <c r="N12" s="103"/>
    </row>
    <row r="13" spans="1:22">
      <c r="A13" s="20"/>
      <c r="B13" s="101" t="str">
        <f>IF(OR(A13='Amount (6.3.3)'!$A$2,A13='Amount (6.3.3)'!$A$4,A13='Amount (6.3.3)'!$A$5,A13='Amount (6.3.3)'!$A$6,A13='Amount (6.3.3)'!$A$13,A13='Amount (6.3.3)'!$A$14,A13='Amount (6.3.3)'!$A$15,A13='Amount (6.3.3)'!$A$38,A13='Amount (6.3.3)'!$A$40,A13='Amount (6.3.3)'!$A$41,A13='Amount (6.3.3)'!$A$42,A13='Amount (6.3.3)'!$A$43,A13='Amount (6.3.3)'!$A$44,A13='Amount (6.3.3)'!$A$45,A13='Amount (6.3.3)'!$A$46,A13='Amount (6.3.3)'!$A$47,A13='Amount (6.3.3)'!$A$48,A13='Amount (6.3.3)'!$A$49),'Amount (6.3.3)'!$B$2,IF(OR(A13='Amount (6.3.3)'!$A$3,A13='Amount (6.3.3)'!$A$26,A13='Amount (6.3.3)'!$A$27),'Amount (6.3.3)'!$B$3,IF(A13='Amount (6.3.3)'!$A$7,'Amount (6.3.3)'!$B$7,IF(OR(A13='Amount (6.3.3)'!$A$8,A13='Amount (6.3.3)'!$A$9),'Amount (6.3.3)'!$B$8,IF(A13='Amount (6.3.3)'!$A$10,'Amount (6.3.3)'!$B$10,IF(OR(A13='Amount (6.3.3)'!$A$11,A13='Amount (6.3.3)'!$A$12),'Amount (6.3.3)'!$B$11,IF(OR(A13='Amount (6.3.3)'!$A$16,A13='Amount (6.3.3)'!$A$17,A13='Amount (6.3.3)'!$A$39),'Amount (6.3.3)'!$B$16,IF(OR(A13='Amount (6.3.3)'!$A$18),'Amount (6.3.3)'!$B$18,IF(OR(A13='Amount (6.3.3)'!$A$19,A13='Amount (6.3.3)'!$A$20,A13='Amount (6.3.3)'!$A$22,A13='Amount (6.3.3)'!$A$24,A13='Amount (6.3.3)'!$A$25,A13='Amount (6.3.3)'!$A$28),'Amount (6.3.3)'!$B$19,IF(OR(A13='Amount (6.3.3)'!$A$21),'Amount (6.3.3)'!$B$21,IF(OR(A13='Amount (6.3.3)'!$A$31,A13='Amount (6.3.3)'!$A$32,A13='Amount (6.3.3)'!$A$33,A13='Amount (6.3.3)'!$A$34,A13='Amount (6.3.3)'!$A$35,A13='Amount (6.3.3)'!$A$36,A13='Amount (6.3.3)'!$A$37),'Amount (6.3.3)'!$B$23,IF(OR(A13='Amount (6.3.3)'!$A$29,A13='Amount (6.3.3)'!$A$30),'Amount (6.3.3)'!$B$29,IF(OR(A13='Amount (6.3.3)'!$A$23),'Amount (6.3.3)'!$B$23,"")))))))))))))</f>
        <v/>
      </c>
      <c r="C13" s="101"/>
      <c r="D13" s="101"/>
      <c r="E13" s="101"/>
      <c r="F13" s="24"/>
      <c r="G13" s="25"/>
      <c r="H13" s="20"/>
      <c r="I13" s="102" t="str">
        <f>IF(B13='Amount (6.3.3)'!$B$2,0*G13,IF(B13='Amount (6.3.3)'!$B$3,"?",IF(B13='Amount (6.3.3)'!$B$7,H13*(Sheet5!$J$28/1000*G13+(EXP(-15.49+1.59*LN(G13)))/Sheet5!$K$13),IF(B13='Amount (6.3.3)'!$B$8,H13*(Sheet5!$J$28/1000*G13+(EXP(-14.17+1.59*LN(G13)))/Sheet5!$K$13),IF(B13='Amount (6.3.3)'!$B$10,H13*(Sheet5!$J$28/1000*G13+(EXP(-16.14+1.59*LN(G13)))/Sheet5!$K$13),IF(B13='Amount (6.3.3)'!$B$11,H13*(Sheet5!$J$28/1000*G13+(EXP(-14.82+1.59*LN(G13)))/Sheet5!$K$13),IF(B13='Amount (6.3.3)'!$B$16,H13*('Amount (6.3.3)'!$C$16*F13),IF(B13='Amount (6.3.3)'!$B$18,H13*('Amount (6.3.3)'!$C$18*G13),IF(B13='Amount (6.3.3)'!$B$19,H13*('Amount (6.3.3)'!$C$19*G13),IF(B13='Amount (6.3.3)'!$B$21,H13*('Amount (6.3.3)'!$C$21*G13),IF(B13='Amount (6.3.3)'!$B$23,H13*('Amount (6.3.3)'!$C$23*G13),IF(B13='Amount (6.3.3)'!$B$29,H13*('Amount (6.3.3)'!$C$29*G13),IF(B13='Amount (6.3.3)'!$B$23,H13*('Amount (6.3.3)'!$C$23*G13),"?")))))))))))))</f>
        <v>?</v>
      </c>
      <c r="N13" s="103"/>
    </row>
    <row r="14" spans="1:22">
      <c r="A14" s="20"/>
      <c r="B14" s="101" t="str">
        <f>IF(OR(A14='Amount (6.3.3)'!$A$2,A14='Amount (6.3.3)'!$A$4,A14='Amount (6.3.3)'!$A$5,A14='Amount (6.3.3)'!$A$6,A14='Amount (6.3.3)'!$A$13,A14='Amount (6.3.3)'!$A$14,A14='Amount (6.3.3)'!$A$15,A14='Amount (6.3.3)'!$A$38,A14='Amount (6.3.3)'!$A$40,A14='Amount (6.3.3)'!$A$41,A14='Amount (6.3.3)'!$A$42,A14='Amount (6.3.3)'!$A$43,A14='Amount (6.3.3)'!$A$44,A14='Amount (6.3.3)'!$A$45,A14='Amount (6.3.3)'!$A$46,A14='Amount (6.3.3)'!$A$47,A14='Amount (6.3.3)'!$A$48,A14='Amount (6.3.3)'!$A$49),'Amount (6.3.3)'!$B$2,IF(OR(A14='Amount (6.3.3)'!$A$3,A14='Amount (6.3.3)'!$A$26,A14='Amount (6.3.3)'!$A$27),'Amount (6.3.3)'!$B$3,IF(A14='Amount (6.3.3)'!$A$7,'Amount (6.3.3)'!$B$7,IF(OR(A14='Amount (6.3.3)'!$A$8,A14='Amount (6.3.3)'!$A$9),'Amount (6.3.3)'!$B$8,IF(A14='Amount (6.3.3)'!$A$10,'Amount (6.3.3)'!$B$10,IF(OR(A14='Amount (6.3.3)'!$A$11,A14='Amount (6.3.3)'!$A$12),'Amount (6.3.3)'!$B$11,IF(OR(A14='Amount (6.3.3)'!$A$16,A14='Amount (6.3.3)'!$A$17,A14='Amount (6.3.3)'!$A$39),'Amount (6.3.3)'!$B$16,IF(OR(A14='Amount (6.3.3)'!$A$18),'Amount (6.3.3)'!$B$18,IF(OR(A14='Amount (6.3.3)'!$A$19,A14='Amount (6.3.3)'!$A$20,A14='Amount (6.3.3)'!$A$22,A14='Amount (6.3.3)'!$A$24,A14='Amount (6.3.3)'!$A$25,A14='Amount (6.3.3)'!$A$28),'Amount (6.3.3)'!$B$19,IF(OR(A14='Amount (6.3.3)'!$A$21),'Amount (6.3.3)'!$B$21,IF(OR(A14='Amount (6.3.3)'!$A$31,A14='Amount (6.3.3)'!$A$32,A14='Amount (6.3.3)'!$A$33,A14='Amount (6.3.3)'!$A$34,A14='Amount (6.3.3)'!$A$35,A14='Amount (6.3.3)'!$A$36,A14='Amount (6.3.3)'!$A$37),'Amount (6.3.3)'!$B$23,IF(OR(A14='Amount (6.3.3)'!$A$29,A14='Amount (6.3.3)'!$A$30),'Amount (6.3.3)'!$B$29,IF(OR(A14='Amount (6.3.3)'!$A$23),'Amount (6.3.3)'!$B$23,"")))))))))))))</f>
        <v/>
      </c>
      <c r="C14" s="101"/>
      <c r="D14" s="101"/>
      <c r="E14" s="101"/>
      <c r="F14" s="24"/>
      <c r="G14" s="25"/>
      <c r="H14" s="20"/>
      <c r="I14" s="102" t="str">
        <f>IF(B14='Amount (6.3.3)'!$B$2,0*G14,IF(B14='Amount (6.3.3)'!$B$3,"?",IF(B14='Amount (6.3.3)'!$B$7,H14*(Sheet5!$J$28/1000*G14+(EXP(-15.49+1.59*LN(G14)))/Sheet5!$K$13),IF(B14='Amount (6.3.3)'!$B$8,H14*(Sheet5!$J$28/1000*G14+(EXP(-14.17+1.59*LN(G14)))/Sheet5!$K$13),IF(B14='Amount (6.3.3)'!$B$10,H14*(Sheet5!$J$28/1000*G14+(EXP(-16.14+1.59*LN(G14)))/Sheet5!$K$13),IF(B14='Amount (6.3.3)'!$B$11,H14*(Sheet5!$J$28/1000*G14+(EXP(-14.82+1.59*LN(G14)))/Sheet5!$K$13),IF(B14='Amount (6.3.3)'!$B$16,H14*('Amount (6.3.3)'!$C$16*F14),IF(B14='Amount (6.3.3)'!$B$18,H14*('Amount (6.3.3)'!$C$18*G14),IF(B14='Amount (6.3.3)'!$B$19,H14*('Amount (6.3.3)'!$C$19*G14),IF(B14='Amount (6.3.3)'!$B$21,H14*('Amount (6.3.3)'!$C$21*G14),IF(B14='Amount (6.3.3)'!$B$23,H14*('Amount (6.3.3)'!$C$23*G14),IF(B14='Amount (6.3.3)'!$B$29,H14*('Amount (6.3.3)'!$C$29*G14),IF(B14='Amount (6.3.3)'!$B$23,H14*('Amount (6.3.3)'!$C$23*G14),"?")))))))))))))</f>
        <v>?</v>
      </c>
      <c r="N14" s="103"/>
    </row>
    <row r="15" spans="1:22">
      <c r="A15" s="20"/>
      <c r="B15" s="101" t="str">
        <f>IF(OR(A15='Amount (6.3.3)'!$A$2,A15='Amount (6.3.3)'!$A$4,A15='Amount (6.3.3)'!$A$5,A15='Amount (6.3.3)'!$A$6,A15='Amount (6.3.3)'!$A$13,A15='Amount (6.3.3)'!$A$14,A15='Amount (6.3.3)'!$A$15,A15='Amount (6.3.3)'!$A$38,A15='Amount (6.3.3)'!$A$40,A15='Amount (6.3.3)'!$A$41,A15='Amount (6.3.3)'!$A$42,A15='Amount (6.3.3)'!$A$43,A15='Amount (6.3.3)'!$A$44,A15='Amount (6.3.3)'!$A$45,A15='Amount (6.3.3)'!$A$46,A15='Amount (6.3.3)'!$A$47,A15='Amount (6.3.3)'!$A$48,A15='Amount (6.3.3)'!$A$49),'Amount (6.3.3)'!$B$2,IF(OR(A15='Amount (6.3.3)'!$A$3,A15='Amount (6.3.3)'!$A$26,A15='Amount (6.3.3)'!$A$27),'Amount (6.3.3)'!$B$3,IF(A15='Amount (6.3.3)'!$A$7,'Amount (6.3.3)'!$B$7,IF(OR(A15='Amount (6.3.3)'!$A$8,A15='Amount (6.3.3)'!$A$9),'Amount (6.3.3)'!$B$8,IF(A15='Amount (6.3.3)'!$A$10,'Amount (6.3.3)'!$B$10,IF(OR(A15='Amount (6.3.3)'!$A$11,A15='Amount (6.3.3)'!$A$12),'Amount (6.3.3)'!$B$11,IF(OR(A15='Amount (6.3.3)'!$A$16,A15='Amount (6.3.3)'!$A$17,A15='Amount (6.3.3)'!$A$39),'Amount (6.3.3)'!$B$16,IF(OR(A15='Amount (6.3.3)'!$A$18),'Amount (6.3.3)'!$B$18,IF(OR(A15='Amount (6.3.3)'!$A$19,A15='Amount (6.3.3)'!$A$20,A15='Amount (6.3.3)'!$A$22,A15='Amount (6.3.3)'!$A$24,A15='Amount (6.3.3)'!$A$25,A15='Amount (6.3.3)'!$A$28),'Amount (6.3.3)'!$B$19,IF(OR(A15='Amount (6.3.3)'!$A$21),'Amount (6.3.3)'!$B$21,IF(OR(A15='Amount (6.3.3)'!$A$31,A15='Amount (6.3.3)'!$A$32,A15='Amount (6.3.3)'!$A$33,A15='Amount (6.3.3)'!$A$34,A15='Amount (6.3.3)'!$A$35,A15='Amount (6.3.3)'!$A$36,A15='Amount (6.3.3)'!$A$37),'Amount (6.3.3)'!$B$23,IF(OR(A15='Amount (6.3.3)'!$A$29,A15='Amount (6.3.3)'!$A$30),'Amount (6.3.3)'!$B$29,IF(OR(A15='Amount (6.3.3)'!$A$23),'Amount (6.3.3)'!$B$23,"")))))))))))))</f>
        <v/>
      </c>
      <c r="C15" s="101"/>
      <c r="D15" s="101"/>
      <c r="E15" s="101"/>
      <c r="F15" s="24"/>
      <c r="G15" s="25"/>
      <c r="H15" s="20"/>
      <c r="I15" s="102" t="str">
        <f>IF(B15='Amount (6.3.3)'!$B$2,0*G15,IF(B15='Amount (6.3.3)'!$B$3,"?",IF(B15='Amount (6.3.3)'!$B$7,H15*(Sheet5!$J$28/1000*G15+(EXP(-15.49+1.59*LN(G15)))/Sheet5!$K$13),IF(B15='Amount (6.3.3)'!$B$8,H15*(Sheet5!$J$28/1000*G15+(EXP(-14.17+1.59*LN(G15)))/Sheet5!$K$13),IF(B15='Amount (6.3.3)'!$B$10,H15*(Sheet5!$J$28/1000*G15+(EXP(-16.14+1.59*LN(G15)))/Sheet5!$K$13),IF(B15='Amount (6.3.3)'!$B$11,H15*(Sheet5!$J$28/1000*G15+(EXP(-14.82+1.59*LN(G15)))/Sheet5!$K$13),IF(B15='Amount (6.3.3)'!$B$16,H15*('Amount (6.3.3)'!$C$16*F15),IF(B15='Amount (6.3.3)'!$B$18,H15*('Amount (6.3.3)'!$C$18*G15),IF(B15='Amount (6.3.3)'!$B$19,H15*('Amount (6.3.3)'!$C$19*G15),IF(B15='Amount (6.3.3)'!$B$21,H15*('Amount (6.3.3)'!$C$21*G15),IF(B15='Amount (6.3.3)'!$B$23,H15*('Amount (6.3.3)'!$C$23*G15),IF(B15='Amount (6.3.3)'!$B$29,H15*('Amount (6.3.3)'!$C$29*G15),IF(B15='Amount (6.3.3)'!$B$23,H15*('Amount (6.3.3)'!$C$23*G15),"?")))))))))))))</f>
        <v>?</v>
      </c>
      <c r="N15" s="103"/>
    </row>
    <row r="16" spans="1:22" ht="15.75" thickBot="1">
      <c r="A16" s="21"/>
      <c r="B16" s="101" t="str">
        <f>IF(OR(A16='Amount (6.3.3)'!$A$2,A16='Amount (6.3.3)'!$A$4,A16='Amount (6.3.3)'!$A$5,A16='Amount (6.3.3)'!$A$6,A16='Amount (6.3.3)'!$A$13,A16='Amount (6.3.3)'!$A$14,A16='Amount (6.3.3)'!$A$15,A16='Amount (6.3.3)'!$A$38,A16='Amount (6.3.3)'!$A$40,A16='Amount (6.3.3)'!$A$41,A16='Amount (6.3.3)'!$A$42,A16='Amount (6.3.3)'!$A$43,A16='Amount (6.3.3)'!$A$44,A16='Amount (6.3.3)'!$A$45,A16='Amount (6.3.3)'!$A$46,A16='Amount (6.3.3)'!$A$47,A16='Amount (6.3.3)'!$A$48,A16='Amount (6.3.3)'!$A$49),'Amount (6.3.3)'!$B$2,IF(OR(A16='Amount (6.3.3)'!$A$3,A16='Amount (6.3.3)'!$A$26,A16='Amount (6.3.3)'!$A$27),'Amount (6.3.3)'!$B$3,IF(A16='Amount (6.3.3)'!$A$7,'Amount (6.3.3)'!$B$7,IF(OR(A16='Amount (6.3.3)'!$A$8,A16='Amount (6.3.3)'!$A$9),'Amount (6.3.3)'!$B$8,IF(A16='Amount (6.3.3)'!$A$10,'Amount (6.3.3)'!$B$10,IF(OR(A16='Amount (6.3.3)'!$A$11,A16='Amount (6.3.3)'!$A$12),'Amount (6.3.3)'!$B$11,IF(OR(A16='Amount (6.3.3)'!$A$16,A16='Amount (6.3.3)'!$A$17,A16='Amount (6.3.3)'!$A$39),'Amount (6.3.3)'!$B$16,IF(OR(A16='Amount (6.3.3)'!$A$18),'Amount (6.3.3)'!$B$18,IF(OR(A16='Amount (6.3.3)'!$A$19,A16='Amount (6.3.3)'!$A$20,A16='Amount (6.3.3)'!$A$22,A16='Amount (6.3.3)'!$A$24,A16='Amount (6.3.3)'!$A$25,A16='Amount (6.3.3)'!$A$28),'Amount (6.3.3)'!$B$19,IF(OR(A16='Amount (6.3.3)'!$A$21),'Amount (6.3.3)'!$B$21,IF(OR(A16='Amount (6.3.3)'!$A$31,A16='Amount (6.3.3)'!$A$32,A16='Amount (6.3.3)'!$A$33,A16='Amount (6.3.3)'!$A$34,A16='Amount (6.3.3)'!$A$35,A16='Amount (6.3.3)'!$A$36,A16='Amount (6.3.3)'!$A$37),'Amount (6.3.3)'!$B$23,IF(OR(A16='Amount (6.3.3)'!$A$29,A16='Amount (6.3.3)'!$A$30),'Amount (6.3.3)'!$B$29,IF(OR(A16='Amount (6.3.3)'!$A$23),'Amount (6.3.3)'!$B$23,"")))))))))))))</f>
        <v/>
      </c>
      <c r="C16" s="101"/>
      <c r="D16" s="101"/>
      <c r="E16" s="101"/>
      <c r="F16" s="26"/>
      <c r="G16" s="27"/>
      <c r="H16" s="21"/>
      <c r="I16" s="102" t="str">
        <f>IF(B16='Amount (6.3.3)'!$B$2,0*G16,IF(B16='Amount (6.3.3)'!$B$3,"?",IF(B16='Amount (6.3.3)'!$B$7,H16*(Sheet5!$J$28/1000*G16+(EXP(-15.49+1.59*LN(G16)))/Sheet5!$K$13),IF(B16='Amount (6.3.3)'!$B$8,H16*(Sheet5!$J$28/1000*G16+(EXP(-14.17+1.59*LN(G16)))/Sheet5!$K$13),IF(B16='Amount (6.3.3)'!$B$10,H16*(Sheet5!$J$28/1000*G16+(EXP(-16.14+1.59*LN(G16)))/Sheet5!$K$13),IF(B16='Amount (6.3.3)'!$B$11,H16*(Sheet5!$J$28/1000*G16+(EXP(-14.82+1.59*LN(G16)))/Sheet5!$K$13),IF(B16='Amount (6.3.3)'!$B$16,H16*('Amount (6.3.3)'!$C$16*F16),IF(B16='Amount (6.3.3)'!$B$18,H16*('Amount (6.3.3)'!$C$18*G16),IF(B16='Amount (6.3.3)'!$B$19,H16*('Amount (6.3.3)'!$C$19*G16),IF(B16='Amount (6.3.3)'!$B$21,H16*('Amount (6.3.3)'!$C$21*G16),IF(B16='Amount (6.3.3)'!$B$23,H16*('Amount (6.3.3)'!$C$23*G16),IF(B16='Amount (6.3.3)'!$B$29,H16*('Amount (6.3.3)'!$C$29*G16),IF(B16='Amount (6.3.3)'!$B$23,H16*('Amount (6.3.3)'!$C$23*G16),"?")))))))))))))</f>
        <v>?</v>
      </c>
      <c r="N16" s="103"/>
    </row>
    <row r="17" spans="1:22" ht="15.75" thickBot="1">
      <c r="A17" s="104" t="s">
        <v>46</v>
      </c>
      <c r="B17" s="104"/>
      <c r="C17" s="104"/>
      <c r="D17" s="104"/>
      <c r="E17" s="104"/>
      <c r="F17" s="94">
        <f>SUM(F7:F16)</f>
        <v>0</v>
      </c>
      <c r="G17" s="94">
        <f>SUM(G7:G16)</f>
        <v>0</v>
      </c>
      <c r="H17" s="94">
        <f>SUM(H7:H16)</f>
        <v>0</v>
      </c>
      <c r="I17" s="105">
        <f>SUM(I7:I16)</f>
        <v>0</v>
      </c>
      <c r="N17" s="103"/>
    </row>
    <row r="19" spans="1:22" ht="60" customHeight="1">
      <c r="A19" s="86" t="s">
        <v>108</v>
      </c>
      <c r="B19" s="86"/>
      <c r="C19" s="86"/>
      <c r="D19" s="86"/>
      <c r="E19" s="86"/>
      <c r="F19" s="86"/>
      <c r="G19" s="86"/>
      <c r="H19" s="86"/>
      <c r="I19" s="86"/>
    </row>
    <row r="20" spans="1:22" s="93" customFormat="1">
      <c r="A20" s="88"/>
      <c r="B20" s="88"/>
      <c r="C20" s="88"/>
      <c r="D20" s="88"/>
      <c r="E20" s="87"/>
      <c r="F20" s="87"/>
      <c r="G20" s="87"/>
      <c r="H20" s="87"/>
      <c r="I20" s="87"/>
      <c r="J20" s="92"/>
      <c r="K20" s="92"/>
      <c r="L20" s="92"/>
      <c r="M20" s="92"/>
      <c r="N20" s="92"/>
      <c r="O20" s="92"/>
      <c r="P20" s="92"/>
      <c r="Q20" s="92"/>
      <c r="R20" s="92"/>
      <c r="S20" s="92"/>
      <c r="T20" s="92"/>
      <c r="U20" s="92"/>
      <c r="V20" s="92"/>
    </row>
    <row r="21" spans="1:22">
      <c r="A21" s="106" t="s">
        <v>59</v>
      </c>
      <c r="B21" s="106"/>
      <c r="C21" s="106"/>
      <c r="D21" s="106"/>
      <c r="E21" s="94" t="s">
        <v>94</v>
      </c>
      <c r="F21" s="94" t="s">
        <v>69</v>
      </c>
      <c r="G21" s="94" t="s">
        <v>92</v>
      </c>
      <c r="H21" s="94" t="s">
        <v>93</v>
      </c>
      <c r="I21" s="94"/>
    </row>
    <row r="22" spans="1:22">
      <c r="A22" s="107" t="s">
        <v>55</v>
      </c>
      <c r="B22" s="107"/>
      <c r="C22" s="107"/>
      <c r="D22" s="107"/>
      <c r="E22" s="108">
        <f>IF(ROUND(TRUNC($I$17)/7-TRUNC(TRUNC($I$17)/7),3)=0.143,TRUNC(TRUNC($I$17)/7)*2+0+$I$17-TRUNC($I$17),IF(ROUND(TRUNC($I$17)/7-TRUNC(TRUNC($I$17)/7),3)=0.286,TRUNC(TRUNC($I$17)/7)*2+1,IF(ROUND(TRUNC($I$17)/7-TRUNC(TRUNC($I$17)/7),3)=0.429,TRUNC(TRUNC($I$17)/7)*2+1,IF(ROUND(TRUNC($I$17)/7-TRUNC(TRUNC($I$17)/7),3)=0.571,TRUNC(TRUNC($I$17)/7)*2+1,IF(ROUND(TRUNC($I$17)/7-TRUNC(TRUNC($I$17)/7),3)=0.714,TRUNC(TRUNC($I$17)/7)*2+1+$I$17-TRUNC($I$17),IF(ROUND(TRUNC($I$17)/7-TRUNC(TRUNC($I$17)/7),3)=0.857,TRUNC(TRUNC($I$17)/7)*2+2,IF(ROUND(TRUNC($I$17)/7-TRUNC(TRUNC($I$17)/7),3)=0,(TRUNC(TRUNC($I$17)/7)-1)*2+2)))))))</f>
        <v>0</v>
      </c>
      <c r="F22" s="28">
        <f>E22</f>
        <v>0</v>
      </c>
      <c r="G22" s="109" t="e">
        <f>F22/SUM(F$22:F$25)</f>
        <v>#DIV/0!</v>
      </c>
      <c r="H22" s="110" t="s">
        <v>160</v>
      </c>
      <c r="I22" s="110"/>
    </row>
    <row r="23" spans="1:22">
      <c r="A23" s="107" t="s">
        <v>56</v>
      </c>
      <c r="B23" s="107"/>
      <c r="C23" s="107"/>
      <c r="D23" s="107"/>
      <c r="E23" s="108">
        <f>IF(ROUND(TRUNC($I$17)/7-TRUNC(TRUNC($I$17)/7),3)=0.143,TRUNC(TRUNC($I$17)/7)*1+0,IF(ROUND(TRUNC($I$17)/7-TRUNC(TRUNC($I$17)/7),3)=0.286,TRUNC(TRUNC($I$17)/7)*1+0,IF(ROUND(TRUNC($I$17)/7-TRUNC(TRUNC($I$17)/7),3)=0.429,TRUNC(TRUNC($I$17)/7)*1+0+$I$17-TRUNC($I$17),IF(ROUND(TRUNC($I$17)/7-TRUNC(TRUNC($I$17)/7),3)=0.571,TRUNC(TRUNC($I$17)/7)*1+1,IF(ROUND(TRUNC($I$17)/7-TRUNC(TRUNC($I$17)/7),3)=0.714,TRUNC(TRUNC($I$17)/7)*1+1,IF(ROUND(TRUNC($I$17)/7-TRUNC(TRUNC($I$17)/7),3)=0.857,TRUNC(TRUNC($I$17)/7)*1+1,IF(ROUND(TRUNC($I$17)/7-TRUNC(TRUNC($I$17)/7),3)=0,(TRUNC(TRUNC($I$17)/7)-1)*1+1)))))))</f>
        <v>0</v>
      </c>
      <c r="F23" s="28">
        <f>E23</f>
        <v>0</v>
      </c>
      <c r="G23" s="109" t="e">
        <f>F23/SUM(F$22:F$25)</f>
        <v>#DIV/0!</v>
      </c>
      <c r="H23" s="110" t="s">
        <v>161</v>
      </c>
      <c r="I23" s="110"/>
    </row>
    <row r="24" spans="1:22">
      <c r="A24" s="107" t="s">
        <v>57</v>
      </c>
      <c r="B24" s="107"/>
      <c r="C24" s="107"/>
      <c r="D24" s="107"/>
      <c r="E24" s="108">
        <f>IF(ROUND(TRUNC($I$17)/7-TRUNC(TRUNC($I$17)/7),3)=0.143,TRUNC(TRUNC($I$17)/7)*3+1,IF(ROUND(TRUNC($I$17)/7-TRUNC(TRUNC($I$17)/7),3)=0.286,TRUNC(TRUNC($I$17)/7)*3+1+$I$17-TRUNC($I$17),IF(ROUND(TRUNC($I$17)/7-TRUNC(TRUNC($I$17)/7),3)=0.429,TRUNC(TRUNC($I$17)/7)*3+2,IF(ROUND(TRUNC($I$17)/7-TRUNC(TRUNC($I$17)/7),3)=0.571,TRUNC(TRUNC($I$17)/7)*3+2+$I$17-TRUNC($I$17),IF(ROUND(TRUNC($I$17)/7-TRUNC(TRUNC($I$17)/7),3)=0.714,TRUNC(TRUNC($I$17)/7)*3+3,IF(ROUND(TRUNC($I$17)/7-TRUNC(TRUNC($I$17)/7),3)=0.857,TRUNC(TRUNC($I$17)/7)*3+3,IF(ROUND(TRUNC($I$17)/7-TRUNC(TRUNC($I$17)/7),3)=0,(TRUNC(TRUNC($I$17)/7)-1)*3+3+$I$17-TRUNC($I$17))))))))</f>
        <v>0</v>
      </c>
      <c r="F24" s="28">
        <f>E24</f>
        <v>0</v>
      </c>
      <c r="G24" s="109" t="e">
        <f>F24/SUM(F$22:F$25)</f>
        <v>#DIV/0!</v>
      </c>
      <c r="H24" s="110" t="s">
        <v>162</v>
      </c>
      <c r="I24" s="110"/>
    </row>
    <row r="25" spans="1:22">
      <c r="A25" s="111" t="s">
        <v>58</v>
      </c>
      <c r="B25" s="111"/>
      <c r="C25" s="111"/>
      <c r="D25" s="111"/>
      <c r="E25" s="112">
        <f>IF(ROUND(TRUNC($I$17)/7-TRUNC(TRUNC($I$17)/7),3)=0.143,TRUNC(TRUNC($I$17)/7)*1+0,IF(ROUND(TRUNC($I$17)/7-TRUNC(TRUNC($I$17)/7),3)=0.286,TRUNC(TRUNC($I$17)/7)*1+0,IF(ROUND(TRUNC($I$17)/7-TRUNC(TRUNC($I$17)/7),3)=0.429,TRUNC(TRUNC($I$17)/7)*1+0,IF(ROUND(TRUNC($I$17)/7-TRUNC(TRUNC($I$17)/7),3)=0.571,TRUNC(TRUNC($I$17)/7)*1+0,IF(ROUND(TRUNC($I$17)/7-TRUNC(TRUNC($I$17)/7),3)=0.714,TRUNC(TRUNC($I$17)/7)*1+0,IF(ROUND(TRUNC($I$17)/7-TRUNC(TRUNC($I$17)/7),3)=0.857,TRUNC(TRUNC($I$17)/7)*1+0+$I$17-TRUNC($I$17),IF(ROUND(TRUNC($I$17)/7-TRUNC(TRUNC($I$17)/7),3)=0,(TRUNC(TRUNC($I$17)/7)-1)*1+1)))))))</f>
        <v>0</v>
      </c>
      <c r="F25" s="28">
        <f>E25</f>
        <v>0</v>
      </c>
      <c r="G25" s="113" t="e">
        <f>F25/SUM(F$22:F$25)</f>
        <v>#DIV/0!</v>
      </c>
      <c r="H25" s="114" t="s">
        <v>163</v>
      </c>
      <c r="I25" s="114"/>
    </row>
    <row r="26" spans="1:22">
      <c r="A26" s="115" t="s">
        <v>46</v>
      </c>
      <c r="B26" s="115"/>
      <c r="C26" s="115"/>
      <c r="D26" s="115"/>
      <c r="E26" s="116">
        <f>SUM(E22:E25)</f>
        <v>0</v>
      </c>
      <c r="F26" s="116">
        <f>SUM(F22:F25)</f>
        <v>0</v>
      </c>
      <c r="G26" s="95" t="s">
        <v>105</v>
      </c>
      <c r="H26" s="96"/>
      <c r="I26" s="97"/>
    </row>
    <row r="27" spans="1:22">
      <c r="E27" s="117"/>
      <c r="F27" s="117"/>
    </row>
    <row r="28" spans="1:22" ht="45">
      <c r="A28" s="94" t="s">
        <v>68</v>
      </c>
      <c r="B28" s="94" t="s">
        <v>95</v>
      </c>
      <c r="C28" s="94" t="s">
        <v>60</v>
      </c>
      <c r="D28" s="94" t="s">
        <v>61</v>
      </c>
      <c r="E28" s="116" t="s">
        <v>107</v>
      </c>
      <c r="F28" s="118" t="s">
        <v>96</v>
      </c>
      <c r="G28" s="95" t="s">
        <v>97</v>
      </c>
      <c r="H28" s="96"/>
      <c r="I28" s="97"/>
    </row>
    <row r="29" spans="1:22">
      <c r="A29" s="119" t="s">
        <v>94</v>
      </c>
      <c r="B29" s="108">
        <f>IF(ROUND(TRUNC($I$17)/7-TRUNC(TRUNC($I$17)/7),3)=0.143,TRUNC(TRUNC($I$17)/7)*3+0+$I$17-TRUNC($I$17),IF(ROUND(TRUNC($I$17)/7-TRUNC(TRUNC($I$17)/7),3)=0.286,TRUNC(TRUNC($I$17)/7)*3+1,IF(ROUND(TRUNC($I$17)/7-TRUNC(TRUNC($I$17)/7),3)=0.429,TRUNC(TRUNC($I$17)/7)*3+1+$I$17-TRUNC($I$17),IF(ROUND(TRUNC($I$17)/7-TRUNC(TRUNC($I$17)/7),3)=0.571,TRUNC(TRUNC($I$17)/7)*3+2,IF(ROUND(TRUNC($I$17)/7-TRUNC(TRUNC($I$17)/7),3)=0.714,TRUNC(TRUNC($I$17)/7)*3+2+$I$17-TRUNC($I$17),IF(ROUND(TRUNC($I$17)/7-TRUNC(TRUNC($I$17)/7),3)=0.857,TRUNC(TRUNC($I$17)/7)*3+3,IF(ROUND(TRUNC($I$17)/7-TRUNC(TRUNC($I$17)/7),3)=0,(TRUNC(TRUNC($I$17)/7)-1)*3+3)))))))</f>
        <v>0</v>
      </c>
      <c r="C29" s="108">
        <f>IF(ROUND(TRUNC($I$17)/7-TRUNC(TRUNC($I$17)/7),3)=0.143,TRUNC(TRUNC($I$17)/7)*3+1,IF(ROUND(TRUNC($I$17)/7-TRUNC(TRUNC($I$17)/7),3)=0.286,TRUNC(TRUNC($I$17)/7)*3+1+$I$17-TRUNC($I$17),IF(ROUND(TRUNC($I$17)/7-TRUNC(TRUNC($I$17)/7),3)=0.429,TRUNC(TRUNC($I$17)/7)*3+2,IF(ROUND(TRUNC($I$17)/7-TRUNC(TRUNC($I$17)/7),3)=0.571,TRUNC(TRUNC($I$17)/7)*3+2,IF(ROUND(TRUNC($I$17)/7-TRUNC(TRUNC($I$17)/7),3)=0.714,TRUNC(TRUNC($I$17)/7)*3+2,IF(ROUND(TRUNC($I$17)/7-TRUNC(TRUNC($I$17)/7),3)=0.857,TRUNC(TRUNC($I$17)/7)*3+2+$I$17-TRUNC($I$17),IF(ROUND(TRUNC($I$17)/7-TRUNC(TRUNC($I$17)/7),3)=0,(TRUNC(TRUNC($I$17)/7)-1)*3+3+$I$17-TRUNC($I$17))))))))</f>
        <v>0</v>
      </c>
      <c r="D29" s="120">
        <f>IF(ROUND(TRUNC($I$17)/7-TRUNC(TRUNC($I$17)/7),3)=0.143,TRUNC(TRUNC($I$17)/7)*1+0,IF(ROUND(TRUNC($I$17)/7-TRUNC(TRUNC($I$17)/7),3)=0.286,TRUNC(TRUNC($I$17)/7)*1+0,IF(ROUND(TRUNC($I$17)/7-TRUNC(TRUNC($I$17)/7),3)=0.429,TRUNC(TRUNC($I$17)/7)*1+0,IF(ROUND(TRUNC($I$17)/7-TRUNC(TRUNC($I$17)/7),3)=0.571,TRUNC(TRUNC($I$17)/7)*1+0+$I$17-TRUNC($I$17),IF(ROUND(TRUNC($I$17)/7-TRUNC(TRUNC($I$17)/7),3)=0.714,TRUNC(TRUNC($I$17)/7)*1+1,IF(ROUND(TRUNC($I$17)/7-TRUNC(TRUNC($I$17)/7),3)=0.857,TRUNC(TRUNC($I$17)/7)*1+1,IF(ROUND(TRUNC($I$17)/7-TRUNC(TRUNC($I$17)/7),3)=0,(TRUNC(TRUNC($I$17)/7)-1)*1+1)))))))</f>
        <v>0</v>
      </c>
      <c r="E29" s="121">
        <f>SUM(B29:D29)</f>
        <v>0</v>
      </c>
      <c r="F29" s="122">
        <f>I17*E31</f>
        <v>0</v>
      </c>
      <c r="G29" s="123" t="s">
        <v>106</v>
      </c>
      <c r="H29" s="124"/>
      <c r="I29" s="125"/>
    </row>
    <row r="30" spans="1:22" ht="15" customHeight="1">
      <c r="A30" s="119" t="s">
        <v>101</v>
      </c>
      <c r="B30" s="29">
        <f>B29</f>
        <v>0</v>
      </c>
      <c r="C30" s="30">
        <f>C29</f>
        <v>0</v>
      </c>
      <c r="D30" s="31">
        <f>D29</f>
        <v>0</v>
      </c>
      <c r="E30" s="121">
        <f>SUM(B30:D30)</f>
        <v>0</v>
      </c>
      <c r="F30" s="122">
        <f>B30*B31+C30*C31+D30*D31</f>
        <v>0</v>
      </c>
      <c r="G30" s="126"/>
      <c r="H30" s="127"/>
      <c r="I30" s="128"/>
    </row>
    <row r="31" spans="1:22">
      <c r="A31" s="129" t="s">
        <v>98</v>
      </c>
      <c r="B31" s="94">
        <v>1.45</v>
      </c>
      <c r="C31" s="130">
        <v>2</v>
      </c>
      <c r="D31" s="131">
        <v>2.1</v>
      </c>
      <c r="E31" s="132">
        <v>1.8</v>
      </c>
      <c r="F31" s="133"/>
      <c r="G31" s="134"/>
      <c r="H31" s="135"/>
      <c r="I31" s="136"/>
    </row>
    <row r="32" spans="1:22">
      <c r="D32" s="137"/>
    </row>
    <row r="33" spans="1:18" ht="45" customHeight="1">
      <c r="A33" s="138" t="s">
        <v>109</v>
      </c>
      <c r="B33" s="138"/>
      <c r="C33" s="138"/>
      <c r="D33" s="138"/>
      <c r="E33" s="138"/>
      <c r="F33" s="138"/>
      <c r="G33" s="138"/>
      <c r="H33" s="138"/>
      <c r="I33" s="138"/>
    </row>
    <row r="34" spans="1:18">
      <c r="D34" s="137"/>
    </row>
    <row r="35" spans="1:18">
      <c r="A35" s="106" t="s">
        <v>99</v>
      </c>
      <c r="B35" s="106"/>
      <c r="C35" s="106"/>
      <c r="D35" s="106"/>
      <c r="E35" s="106"/>
      <c r="F35" s="95" t="s">
        <v>100</v>
      </c>
      <c r="G35" s="96"/>
      <c r="H35" s="97"/>
    </row>
    <row r="36" spans="1:18">
      <c r="A36" s="110"/>
      <c r="B36" s="110" t="s">
        <v>95</v>
      </c>
      <c r="C36" s="110" t="s">
        <v>60</v>
      </c>
      <c r="D36" s="110" t="s">
        <v>61</v>
      </c>
      <c r="E36" s="94" t="s">
        <v>46</v>
      </c>
      <c r="F36" s="110" t="s">
        <v>95</v>
      </c>
      <c r="G36" s="110" t="s">
        <v>66</v>
      </c>
      <c r="H36" s="110" t="s">
        <v>67</v>
      </c>
      <c r="L36" s="139"/>
      <c r="O36" s="92"/>
      <c r="P36" s="92"/>
      <c r="Q36" s="92"/>
      <c r="R36" s="92"/>
    </row>
    <row r="37" spans="1:18">
      <c r="A37" s="119" t="s">
        <v>62</v>
      </c>
      <c r="B37" s="32">
        <f>O37</f>
        <v>0</v>
      </c>
      <c r="C37" s="32">
        <f>IF(AND(O41&lt;B30,R37&lt;F22),P37+1,P37)</f>
        <v>0</v>
      </c>
      <c r="D37" s="32">
        <f t="shared" ref="D37" si="0">Q37</f>
        <v>0</v>
      </c>
      <c r="E37" s="116">
        <f>SUM(B37:D37)</f>
        <v>0</v>
      </c>
      <c r="F37" s="121">
        <f>F22*3/7</f>
        <v>0</v>
      </c>
      <c r="G37" s="121">
        <f>F22*3/7</f>
        <v>0</v>
      </c>
      <c r="H37" s="121">
        <f>F22*1/7</f>
        <v>0</v>
      </c>
      <c r="K37" s="140">
        <f>ROUNDDOWN($F22,0)*3/7</f>
        <v>0</v>
      </c>
      <c r="L37" s="140">
        <f>ROUNDDOWN($F22,0)*3/7</f>
        <v>0</v>
      </c>
      <c r="M37" s="140">
        <f>ROUNDDOWN($F22,0)*1/7</f>
        <v>0</v>
      </c>
      <c r="N37" s="141"/>
      <c r="O37" s="142">
        <f>IF(ROUNDUP(K37,0)+P37+Q37&gt;F22,ROUNDDOWN(K37,0),IF(ROUNDUP(K37,0)+O40+O39+O38&gt;B30,ROUNDDOWN(K37,0),ROUNDUP(K37,0)))+IF(AND(F22-TRUNC(F22)&gt;0,B30-TRUNC(B30)&gt;0),F22-TRUNC(F22),0)</f>
        <v>0</v>
      </c>
      <c r="P37" s="142">
        <f>IF(ROUNDUP(L37,0)+ROUNDDOWN(K37,0)+Q37&gt;F22,ROUNDDOWN(L37,0),IF(ROUNDUP(L37,0)+P40+P39+P38&gt;C30,ROUNDDOWN(L37,0),ROUNDUP(L37,0)))+IF(AND(F22-TRUNC(F22)&gt;0,C30-TRUNC(C30)&gt;0),F22-TRUNC(F22),0)</f>
        <v>0</v>
      </c>
      <c r="Q37" s="142">
        <f>IF(ROUNDUP(M37,0)+ROUNDDOWN(L37,0)+ROUNDDOWN(K37,0)&gt;F22,ROUNDDOWN(M37,0),IF(ROUNDUP(M37,0)+Q40+Q39+Q38&gt;D30,ROUNDDOWN(M37,0),ROUNDUP(M37,0)))+IF(AND(F22-TRUNC(F22)&gt;0,D30-TRUNC(D30)&gt;0),F22-TRUNC(F22),0)</f>
        <v>0</v>
      </c>
      <c r="R37" s="143">
        <f>SUM(O37:Q37)</f>
        <v>0</v>
      </c>
    </row>
    <row r="38" spans="1:18">
      <c r="A38" s="119" t="s">
        <v>63</v>
      </c>
      <c r="B38" s="35">
        <f>IF(AND(O41&lt;B30,R37&lt;F22),O38+1,O38)</f>
        <v>0</v>
      </c>
      <c r="C38" s="36">
        <f>IF(AND(O41&lt;B30,R37&lt;F22),P38-1,IF(AND(O41&lt;B30,R38&lt;F23),P38+1,P38))</f>
        <v>0</v>
      </c>
      <c r="D38" s="37">
        <f t="shared" ref="D38:D40" si="1">Q38</f>
        <v>0</v>
      </c>
      <c r="E38" s="116">
        <f>SUM(B38:D38)</f>
        <v>0</v>
      </c>
      <c r="F38" s="121">
        <f t="shared" ref="F38:F40" si="2">F23*3/7</f>
        <v>0</v>
      </c>
      <c r="G38" s="121">
        <f t="shared" ref="G38:G40" si="3">F23*3/7</f>
        <v>0</v>
      </c>
      <c r="H38" s="121">
        <f t="shared" ref="H38:H40" si="4">F23*1/7</f>
        <v>0</v>
      </c>
      <c r="K38" s="140">
        <f t="shared" ref="K38:L38" si="5">ROUNDDOWN($F23,0)*3/7</f>
        <v>0</v>
      </c>
      <c r="L38" s="140">
        <f t="shared" si="5"/>
        <v>0</v>
      </c>
      <c r="M38" s="140">
        <f t="shared" ref="M38:M40" si="6">ROUNDDOWN($F23,0)*1/7</f>
        <v>0</v>
      </c>
      <c r="N38" s="141"/>
      <c r="O38" s="142">
        <f>IF(ROUNDUP(K38,0)+P38+Q38&gt;F23,ROUNDDOWN(K38,0),IF(ROUNDUP(K38,0)+ROUNDDOWN(K37,0)+O40+O39&gt;B30,ROUNDDOWN(K38,0),ROUNDUP(K38,0)))+IF(AND(F23-TRUNC(F23)&gt;0,B30-TRUNC(B30)&gt;0),F23-TRUNC(F23),0)</f>
        <v>0</v>
      </c>
      <c r="P38" s="142">
        <f>IF(ROUNDUP(L38,0)+ROUNDDOWN(K38,0)+Q38&gt;F23,ROUNDDOWN(L38,0),IF(ROUNDUP(L38,0)+ROUNDDOWN(L37,0)+P40+P39&gt;C30,ROUNDDOWN(L38,0),ROUNDUP(L38,0)))+IF(AND(F23-TRUNC(F23)&gt;0,C30-TRUNC(C30)&gt;0),F23-TRUNC(F23),0)</f>
        <v>0</v>
      </c>
      <c r="Q38" s="142">
        <f>IF(ROUNDUP(M38,0)+ROUNDDOWN(L38,0)+ROUNDDOWN(K38,0)&gt;F23,ROUNDDOWN(M38,0),IF(ROUNDUP(M38,0)+ROUNDDOWN(M37,0)+Q40+Q39&gt;D30,ROUNDDOWN(M38,0),ROUNDUP(M38,0)))+IF(AND(F23-TRUNC(F23)&gt;0,D30-TRUNC(D30)&gt;0),F23-TRUNC(F23),0)</f>
        <v>0</v>
      </c>
      <c r="R38" s="143">
        <f>SUM(O38:Q38)</f>
        <v>0</v>
      </c>
    </row>
    <row r="39" spans="1:18">
      <c r="A39" s="119" t="s">
        <v>64</v>
      </c>
      <c r="B39" s="35">
        <f>IF(AND(O41&lt;B30,R38&lt;F23),O39+1,O39)</f>
        <v>0</v>
      </c>
      <c r="C39" s="36">
        <f>IF(AND(O41&lt;B30,R38&lt;F23),P39-1,P39)</f>
        <v>0</v>
      </c>
      <c r="D39" s="37">
        <f t="shared" si="1"/>
        <v>0</v>
      </c>
      <c r="E39" s="116">
        <f>SUM(B39:D39)</f>
        <v>0</v>
      </c>
      <c r="F39" s="121">
        <f t="shared" si="2"/>
        <v>0</v>
      </c>
      <c r="G39" s="121">
        <f t="shared" si="3"/>
        <v>0</v>
      </c>
      <c r="H39" s="121">
        <f t="shared" si="4"/>
        <v>0</v>
      </c>
      <c r="K39" s="140">
        <f t="shared" ref="K39:L39" si="7">ROUNDDOWN($F24,0)*3/7</f>
        <v>0</v>
      </c>
      <c r="L39" s="140">
        <f t="shared" si="7"/>
        <v>0</v>
      </c>
      <c r="M39" s="140">
        <f t="shared" si="6"/>
        <v>0</v>
      </c>
      <c r="N39" s="141"/>
      <c r="O39" s="142">
        <f>IF(ROUNDUP(K39,0)+P39+Q39&gt;F24,ROUNDDOWN(K39,0),IF(ROUNDUP(K39,0)+ROUNDDOWN(K38,0)+ROUNDDOWN(K37,0)+O40&gt;B30,ROUNDDOWN(K39,0),ROUNDUP(K39,0)))+IF(AND(F24-TRUNC(F24)&gt;0,B30-TRUNC(B30)&gt;0),F24-TRUNC(F24),0)</f>
        <v>0</v>
      </c>
      <c r="P39" s="142">
        <f>IF(ROUNDUP(L39,0)+ROUNDDOWN(K39,0)+Q39&gt;F24,ROUNDDOWN(L39,0),IF(ROUNDUP(L39,0)+ROUNDDOWN(L38,0)+ROUNDDOWN(L37,0)+P40&gt;C30,ROUNDDOWN(L39,0),ROUNDUP(L39,0)))+IF(AND(F24-TRUNC(F24)&gt;0,C30-TRUNC(C30)&gt;0),F24-TRUNC(F24),0)</f>
        <v>0</v>
      </c>
      <c r="Q39" s="142">
        <f>IF(ROUNDUP(M39,0)+ROUNDDOWN(L39,0)+ROUNDDOWN(K39,0)&gt;F24,ROUNDDOWN(M39,0),IF(ROUNDUP(M39,0)+ROUNDDOWN(M38,0)+ROUNDDOWN(M37,0)+Q40&gt;D30,ROUNDDOWN(M39,0),ROUNDUP(M39,0)))+IF(AND(F24-TRUNC(F24)&gt;0,D30-TRUNC(D30)&gt;0),F24-TRUNC(F24),0)</f>
        <v>0</v>
      </c>
      <c r="R39" s="143">
        <f>SUM(O39:Q39)</f>
        <v>0</v>
      </c>
    </row>
    <row r="40" spans="1:18">
      <c r="A40" s="119" t="s">
        <v>65</v>
      </c>
      <c r="B40" s="38">
        <f t="shared" ref="B40" si="8">O40</f>
        <v>0</v>
      </c>
      <c r="C40" s="39">
        <f t="shared" ref="C40" si="9">P40</f>
        <v>0</v>
      </c>
      <c r="D40" s="40">
        <f t="shared" si="1"/>
        <v>0</v>
      </c>
      <c r="E40" s="116">
        <f>SUM(B40:D40)</f>
        <v>0</v>
      </c>
      <c r="F40" s="121">
        <f t="shared" si="2"/>
        <v>0</v>
      </c>
      <c r="G40" s="121">
        <f t="shared" si="3"/>
        <v>0</v>
      </c>
      <c r="H40" s="121">
        <f t="shared" si="4"/>
        <v>0</v>
      </c>
      <c r="K40" s="140">
        <f t="shared" ref="K40:L40" si="10">ROUNDDOWN($F25,0)*3/7</f>
        <v>0</v>
      </c>
      <c r="L40" s="140">
        <f t="shared" si="10"/>
        <v>0</v>
      </c>
      <c r="M40" s="140">
        <f t="shared" si="6"/>
        <v>0</v>
      </c>
      <c r="N40" s="141"/>
      <c r="O40" s="142">
        <f>IF(ROUNDUP(K40,0)+P40+Q40&gt;F25,ROUNDDOWN(K40,0),IF(ROUNDUP(K40,0)+ROUNDDOWN(K39,0)+ROUNDDOWN(K38,0)+ROUNDDOWN(K37,0)&gt;B30,ROUNDDOWN(K40,0),ROUNDUP(K40,0)))+IF(AND(F25-TRUNC(F25)&gt;0,B30-TRUNC(B30)&gt;0),F25-TRUNC(F25),0)</f>
        <v>0</v>
      </c>
      <c r="P40" s="142">
        <f>IF(ROUNDUP(L40,0)+ROUNDDOWN(K40,0)+Q40&gt;F25,ROUNDDOWN(L40,0),IF(ROUNDUP(L40,0)+ROUNDDOWN(L39,0)+ROUNDDOWN(L38,0)+ROUNDDOWN(L37,0)&gt;C30,ROUNDDOWN(L40,0),ROUNDUP(L40,0)))+IF(AND(F25-TRUNC(F25)&gt;0,C30-TRUNC(C30)&gt;0),F25-TRUNC(F25),0)</f>
        <v>0</v>
      </c>
      <c r="Q40" s="142">
        <f>IF(ROUNDUP(M40,0)+ROUNDDOWN(L40,0)+ROUNDDOWN(K40,0)&gt;F25,ROUNDDOWN(M40,0),IF(ROUNDUP(M40,0)+ROUNDDOWN(M39,0)+ROUNDDOWN(M38,0)+ROUNDDOWN(M37,0)&gt;D30,ROUNDDOWN(M40,0),ROUNDUP(M40,0)))+IF(AND(F25-TRUNC(F25)&gt;0,D30-TRUNC(D30)&gt;0),F25-TRUNC(F25),0)</f>
        <v>0</v>
      </c>
      <c r="R40" s="143">
        <f>SUM(O40:Q40)</f>
        <v>0</v>
      </c>
    </row>
    <row r="41" spans="1:18">
      <c r="A41" s="129" t="s">
        <v>46</v>
      </c>
      <c r="B41" s="116">
        <f>SUM(B37:B40)</f>
        <v>0</v>
      </c>
      <c r="C41" s="116">
        <f>SUM(C37:C40)</f>
        <v>0</v>
      </c>
      <c r="D41" s="116">
        <f>SUM(D37:D40)</f>
        <v>0</v>
      </c>
      <c r="E41" s="144"/>
      <c r="F41" s="145"/>
      <c r="G41" s="145"/>
      <c r="H41" s="145"/>
      <c r="I41" s="146"/>
      <c r="J41" s="147"/>
      <c r="K41" s="148"/>
      <c r="L41" s="148"/>
      <c r="M41" s="141"/>
      <c r="N41" s="141"/>
      <c r="O41" s="143">
        <f>SUM(O37:O40)</f>
        <v>0</v>
      </c>
      <c r="P41" s="143">
        <f>SUM(P37:P40)</f>
        <v>0</v>
      </c>
      <c r="Q41" s="143">
        <f>SUM(Q37:Q40)</f>
        <v>0</v>
      </c>
      <c r="R41" s="149"/>
    </row>
    <row r="43" spans="1:18" ht="60" customHeight="1">
      <c r="A43" s="86" t="s">
        <v>110</v>
      </c>
      <c r="B43" s="86"/>
      <c r="C43" s="86"/>
      <c r="D43" s="86"/>
      <c r="E43" s="86"/>
      <c r="F43" s="86"/>
      <c r="G43" s="86"/>
      <c r="H43" s="86"/>
      <c r="I43" s="86"/>
    </row>
    <row r="44" spans="1:18">
      <c r="A44" s="150"/>
    </row>
    <row r="45" spans="1:18">
      <c r="A45" s="94"/>
      <c r="B45" s="95" t="s">
        <v>111</v>
      </c>
      <c r="C45" s="96"/>
      <c r="D45" s="97"/>
      <c r="E45" s="151"/>
      <c r="F45" s="95" t="s">
        <v>112</v>
      </c>
      <c r="G45" s="96"/>
      <c r="H45" s="97"/>
    </row>
    <row r="46" spans="1:18">
      <c r="A46" s="110"/>
      <c r="B46" s="110" t="s">
        <v>95</v>
      </c>
      <c r="C46" s="110" t="s">
        <v>66</v>
      </c>
      <c r="D46" s="110" t="s">
        <v>67</v>
      </c>
      <c r="E46" s="152"/>
      <c r="F46" s="110" t="s">
        <v>95</v>
      </c>
      <c r="G46" s="110" t="s">
        <v>66</v>
      </c>
      <c r="H46" s="110" t="s">
        <v>67</v>
      </c>
      <c r="I46" s="153"/>
      <c r="J46" s="154"/>
    </row>
    <row r="47" spans="1:18">
      <c r="A47" s="119" t="s">
        <v>62</v>
      </c>
      <c r="B47" s="32">
        <f t="shared" ref="B47:D50" si="11">IF(B37-TRUNC(B37)&gt;0,TRUNC(B37),B37)</f>
        <v>0</v>
      </c>
      <c r="C47" s="33">
        <f t="shared" si="11"/>
        <v>0</v>
      </c>
      <c r="D47" s="34">
        <f t="shared" si="11"/>
        <v>0</v>
      </c>
      <c r="E47" s="151"/>
      <c r="F47" s="32">
        <v>0</v>
      </c>
      <c r="G47" s="33">
        <v>0</v>
      </c>
      <c r="H47" s="34">
        <v>0</v>
      </c>
      <c r="J47" s="154"/>
    </row>
    <row r="48" spans="1:18">
      <c r="A48" s="119" t="s">
        <v>63</v>
      </c>
      <c r="B48" s="35">
        <f t="shared" si="11"/>
        <v>0</v>
      </c>
      <c r="C48" s="36">
        <f t="shared" si="11"/>
        <v>0</v>
      </c>
      <c r="D48" s="37">
        <f t="shared" si="11"/>
        <v>0</v>
      </c>
      <c r="E48" s="151"/>
      <c r="F48" s="35">
        <v>0</v>
      </c>
      <c r="G48" s="36">
        <v>0</v>
      </c>
      <c r="H48" s="37">
        <v>0</v>
      </c>
      <c r="J48" s="154"/>
    </row>
    <row r="49" spans="1:22">
      <c r="A49" s="119" t="s">
        <v>64</v>
      </c>
      <c r="B49" s="35">
        <f t="shared" si="11"/>
        <v>0</v>
      </c>
      <c r="C49" s="36">
        <f t="shared" si="11"/>
        <v>0</v>
      </c>
      <c r="D49" s="37">
        <f t="shared" si="11"/>
        <v>0</v>
      </c>
      <c r="E49" s="151"/>
      <c r="F49" s="35">
        <v>0</v>
      </c>
      <c r="G49" s="36">
        <v>0</v>
      </c>
      <c r="H49" s="37">
        <v>0</v>
      </c>
      <c r="J49" s="154"/>
    </row>
    <row r="50" spans="1:22">
      <c r="A50" s="119" t="s">
        <v>65</v>
      </c>
      <c r="B50" s="38">
        <f t="shared" si="11"/>
        <v>0</v>
      </c>
      <c r="C50" s="39">
        <f t="shared" si="11"/>
        <v>0</v>
      </c>
      <c r="D50" s="40">
        <f t="shared" si="11"/>
        <v>0</v>
      </c>
      <c r="E50" s="151"/>
      <c r="F50" s="38">
        <v>0</v>
      </c>
      <c r="G50" s="39">
        <v>0</v>
      </c>
      <c r="H50" s="40">
        <v>0</v>
      </c>
      <c r="J50" s="155"/>
    </row>
    <row r="51" spans="1:22" s="87" customFormat="1">
      <c r="A51" s="156"/>
      <c r="B51" s="157"/>
      <c r="C51" s="157"/>
      <c r="D51" s="157"/>
      <c r="F51" s="157"/>
      <c r="G51" s="157"/>
      <c r="H51" s="157"/>
      <c r="J51" s="155"/>
      <c r="K51" s="155"/>
      <c r="L51" s="155"/>
      <c r="M51" s="155"/>
      <c r="N51" s="155"/>
      <c r="O51" s="155"/>
      <c r="P51" s="155"/>
      <c r="Q51" s="155"/>
      <c r="R51" s="155"/>
      <c r="S51" s="155"/>
      <c r="T51" s="155"/>
      <c r="U51" s="155"/>
      <c r="V51" s="155"/>
    </row>
    <row r="52" spans="1:22">
      <c r="A52" s="94"/>
      <c r="B52" s="95" t="s">
        <v>113</v>
      </c>
      <c r="C52" s="96"/>
      <c r="D52" s="97"/>
      <c r="E52" s="151"/>
      <c r="F52" s="95" t="s">
        <v>114</v>
      </c>
      <c r="G52" s="96"/>
      <c r="H52" s="97"/>
    </row>
    <row r="53" spans="1:22">
      <c r="A53" s="110"/>
      <c r="B53" s="110" t="s">
        <v>95</v>
      </c>
      <c r="C53" s="110" t="s">
        <v>66</v>
      </c>
      <c r="D53" s="110" t="s">
        <v>67</v>
      </c>
      <c r="E53" s="152"/>
      <c r="F53" s="110" t="s">
        <v>95</v>
      </c>
      <c r="G53" s="110" t="s">
        <v>66</v>
      </c>
      <c r="H53" s="110" t="s">
        <v>67</v>
      </c>
    </row>
    <row r="54" spans="1:22">
      <c r="A54" s="119" t="s">
        <v>62</v>
      </c>
      <c r="B54" s="32">
        <v>0</v>
      </c>
      <c r="C54" s="33">
        <v>0</v>
      </c>
      <c r="D54" s="34">
        <v>0</v>
      </c>
      <c r="E54" s="151"/>
      <c r="F54" s="32">
        <v>0</v>
      </c>
      <c r="G54" s="33">
        <v>0</v>
      </c>
      <c r="H54" s="34">
        <v>0</v>
      </c>
    </row>
    <row r="55" spans="1:22">
      <c r="A55" s="119" t="s">
        <v>63</v>
      </c>
      <c r="B55" s="35">
        <v>0</v>
      </c>
      <c r="C55" s="36">
        <v>0</v>
      </c>
      <c r="D55" s="37">
        <v>0</v>
      </c>
      <c r="E55" s="151"/>
      <c r="F55" s="35">
        <v>0</v>
      </c>
      <c r="G55" s="36">
        <v>0</v>
      </c>
      <c r="H55" s="37">
        <v>0</v>
      </c>
    </row>
    <row r="56" spans="1:22">
      <c r="A56" s="119" t="s">
        <v>64</v>
      </c>
      <c r="B56" s="35">
        <v>0</v>
      </c>
      <c r="C56" s="36">
        <v>0</v>
      </c>
      <c r="D56" s="37">
        <v>0</v>
      </c>
      <c r="E56" s="151"/>
      <c r="F56" s="35">
        <v>0</v>
      </c>
      <c r="G56" s="36">
        <v>0</v>
      </c>
      <c r="H56" s="37">
        <v>0</v>
      </c>
    </row>
    <row r="57" spans="1:22">
      <c r="A57" s="119" t="s">
        <v>65</v>
      </c>
      <c r="B57" s="38">
        <v>0</v>
      </c>
      <c r="C57" s="39">
        <v>0</v>
      </c>
      <c r="D57" s="40">
        <v>0</v>
      </c>
      <c r="E57" s="151"/>
      <c r="F57" s="38">
        <v>0</v>
      </c>
      <c r="G57" s="39">
        <v>0</v>
      </c>
      <c r="H57" s="40">
        <v>0</v>
      </c>
    </row>
    <row r="58" spans="1:22" s="87" customFormat="1">
      <c r="A58" s="156"/>
      <c r="B58" s="158"/>
      <c r="C58" s="158"/>
      <c r="D58" s="158"/>
      <c r="F58" s="158"/>
      <c r="G58" s="158"/>
      <c r="H58" s="158"/>
      <c r="J58" s="155"/>
      <c r="K58" s="155"/>
      <c r="L58" s="155"/>
      <c r="M58" s="155"/>
      <c r="N58" s="155"/>
      <c r="O58" s="155"/>
      <c r="P58" s="155"/>
      <c r="Q58" s="155"/>
      <c r="R58" s="155"/>
      <c r="S58" s="155"/>
      <c r="T58" s="155"/>
      <c r="U58" s="155"/>
      <c r="V58" s="155"/>
    </row>
    <row r="59" spans="1:22">
      <c r="A59" s="94"/>
      <c r="B59" s="95" t="s">
        <v>115</v>
      </c>
      <c r="C59" s="96"/>
      <c r="D59" s="159"/>
      <c r="E59" s="160" t="s">
        <v>116</v>
      </c>
      <c r="F59" s="106"/>
      <c r="G59" s="106"/>
      <c r="H59" s="106"/>
    </row>
    <row r="60" spans="1:22">
      <c r="A60" s="110"/>
      <c r="B60" s="110" t="s">
        <v>95</v>
      </c>
      <c r="C60" s="110" t="s">
        <v>66</v>
      </c>
      <c r="D60" s="161" t="s">
        <v>67</v>
      </c>
      <c r="E60" s="162" t="s">
        <v>95</v>
      </c>
      <c r="F60" s="110" t="s">
        <v>66</v>
      </c>
      <c r="G60" s="110" t="s">
        <v>67</v>
      </c>
      <c r="H60" s="116"/>
    </row>
    <row r="61" spans="1:22">
      <c r="A61" s="119" t="s">
        <v>62</v>
      </c>
      <c r="B61" s="163">
        <f t="shared" ref="B61:B64" si="12">B37-B47-F47-B54-F54</f>
        <v>0</v>
      </c>
      <c r="C61" s="164">
        <f t="shared" ref="C61:C64" si="13">C37-C47-G47-C54-G54</f>
        <v>0</v>
      </c>
      <c r="D61" s="165">
        <f t="shared" ref="D61:D64" si="14">D37-D47-H47-D54-H54</f>
        <v>0</v>
      </c>
      <c r="E61" s="166">
        <f>B61*IF('In-Lieu Fee (6.3..5.D.5)'!B47&gt;0,'In-Lieu Fee (6.3..5.D.5)'!B47,0)</f>
        <v>0</v>
      </c>
      <c r="F61" s="167">
        <f>C61*IF('In-Lieu Fee (6.3..5.D.5)'!C47&gt;0,'In-Lieu Fee (6.3..5.D.5)'!C47,0)</f>
        <v>0</v>
      </c>
      <c r="G61" s="167">
        <f>D61*IF('In-Lieu Fee (6.3..5.D.5)'!D47&gt;0,'In-Lieu Fee (6.3..5.D.5)'!D47,0)</f>
        <v>0</v>
      </c>
      <c r="H61" s="168"/>
      <c r="K61" s="169"/>
      <c r="L61" s="169"/>
      <c r="M61" s="169"/>
      <c r="N61" s="154"/>
    </row>
    <row r="62" spans="1:22">
      <c r="A62" s="119" t="s">
        <v>63</v>
      </c>
      <c r="B62" s="163">
        <f t="shared" si="12"/>
        <v>0</v>
      </c>
      <c r="C62" s="164">
        <f t="shared" si="13"/>
        <v>0</v>
      </c>
      <c r="D62" s="165">
        <f t="shared" si="14"/>
        <v>0</v>
      </c>
      <c r="E62" s="166">
        <f>B62*IF('In-Lieu Fee (6.3..5.D.5)'!B48&gt;0,'In-Lieu Fee (6.3..5.D.5)'!B48,0)</f>
        <v>0</v>
      </c>
      <c r="F62" s="167">
        <f>C62*IF('In-Lieu Fee (6.3..5.D.5)'!C48&gt;0,'In-Lieu Fee (6.3..5.D.5)'!C48,0)</f>
        <v>0</v>
      </c>
      <c r="G62" s="167">
        <f>D62*IF('In-Lieu Fee (6.3..5.D.5)'!D48&gt;0,'In-Lieu Fee (6.3..5.D.5)'!D48,0)</f>
        <v>0</v>
      </c>
      <c r="H62" s="168"/>
      <c r="K62" s="169"/>
      <c r="L62" s="169"/>
      <c r="M62" s="169"/>
      <c r="N62" s="154"/>
    </row>
    <row r="63" spans="1:22">
      <c r="A63" s="119" t="s">
        <v>64</v>
      </c>
      <c r="B63" s="163">
        <f t="shared" si="12"/>
        <v>0</v>
      </c>
      <c r="C63" s="164">
        <f t="shared" si="13"/>
        <v>0</v>
      </c>
      <c r="D63" s="165">
        <f t="shared" si="14"/>
        <v>0</v>
      </c>
      <c r="E63" s="166">
        <f>B63*IF('In-Lieu Fee (6.3..5.D.5)'!B49&gt;0,'In-Lieu Fee (6.3..5.D.5)'!B49,0)</f>
        <v>0</v>
      </c>
      <c r="F63" s="167">
        <f>C63*IF('In-Lieu Fee (6.3..5.D.5)'!C49&gt;0,'In-Lieu Fee (6.3..5.D.5)'!C49,0)</f>
        <v>0</v>
      </c>
      <c r="G63" s="167">
        <f>D63*IF('In-Lieu Fee (6.3..5.D.5)'!D49&gt;0,'In-Lieu Fee (6.3..5.D.5)'!D49,0)</f>
        <v>0</v>
      </c>
      <c r="H63" s="168"/>
      <c r="K63" s="169"/>
      <c r="L63" s="169"/>
      <c r="M63" s="169"/>
      <c r="N63" s="154"/>
    </row>
    <row r="64" spans="1:22" ht="15.75" thickBot="1">
      <c r="A64" s="119" t="s">
        <v>65</v>
      </c>
      <c r="B64" s="163">
        <f t="shared" si="12"/>
        <v>0</v>
      </c>
      <c r="C64" s="164">
        <f t="shared" si="13"/>
        <v>0</v>
      </c>
      <c r="D64" s="165">
        <f t="shared" si="14"/>
        <v>0</v>
      </c>
      <c r="E64" s="166">
        <f>B64*IF('In-Lieu Fee (6.3..5.D.5)'!B50&gt;0,'In-Lieu Fee (6.3..5.D.5)'!B50,0)</f>
        <v>0</v>
      </c>
      <c r="F64" s="167">
        <f>C64*IF('In-Lieu Fee (6.3..5.D.5)'!C50&gt;0,'In-Lieu Fee (6.3..5.D.5)'!C50,0)</f>
        <v>0</v>
      </c>
      <c r="G64" s="167">
        <f>D64*IF('In-Lieu Fee (6.3..5.D.5)'!D50&gt;0,'In-Lieu Fee (6.3..5.D.5)'!D50,0)</f>
        <v>0</v>
      </c>
      <c r="H64" s="170"/>
      <c r="K64" s="169"/>
      <c r="L64" s="169"/>
      <c r="M64" s="169"/>
      <c r="N64" s="154"/>
    </row>
    <row r="65" spans="1:14" ht="15.75" thickBot="1">
      <c r="A65" s="94"/>
      <c r="B65" s="171"/>
      <c r="C65" s="172"/>
      <c r="D65" s="173"/>
      <c r="E65" s="174" t="s">
        <v>46</v>
      </c>
      <c r="F65" s="175"/>
      <c r="G65" s="175"/>
      <c r="H65" s="176">
        <f>SUM(E61:G64)</f>
        <v>0</v>
      </c>
      <c r="K65" s="154"/>
      <c r="L65" s="154"/>
      <c r="M65" s="154"/>
      <c r="N65" s="177"/>
    </row>
    <row r="72" spans="1:14">
      <c r="E72" s="178"/>
      <c r="F72" s="178"/>
      <c r="G72" s="178"/>
    </row>
    <row r="73" spans="1:14">
      <c r="E73" s="178"/>
      <c r="F73" s="178"/>
      <c r="G73" s="178"/>
    </row>
    <row r="74" spans="1:14">
      <c r="E74" s="178"/>
      <c r="F74" s="178"/>
      <c r="G74" s="178"/>
    </row>
    <row r="75" spans="1:14">
      <c r="E75" s="178"/>
      <c r="F75" s="178"/>
      <c r="G75" s="178"/>
    </row>
  </sheetData>
  <sheetProtection sheet="1" objects="1" scenarios="1"/>
  <mergeCells count="37">
    <mergeCell ref="A4:I4"/>
    <mergeCell ref="A19:I19"/>
    <mergeCell ref="B6:E6"/>
    <mergeCell ref="B7:E7"/>
    <mergeCell ref="B8:E8"/>
    <mergeCell ref="B9:E9"/>
    <mergeCell ref="B10:E10"/>
    <mergeCell ref="B11:E11"/>
    <mergeCell ref="B12:E12"/>
    <mergeCell ref="B13:E13"/>
    <mergeCell ref="B14:E14"/>
    <mergeCell ref="B15:E15"/>
    <mergeCell ref="B16:E16"/>
    <mergeCell ref="A17:E17"/>
    <mergeCell ref="A35:E35"/>
    <mergeCell ref="F35:H35"/>
    <mergeCell ref="A21:D21"/>
    <mergeCell ref="A22:D22"/>
    <mergeCell ref="A23:D23"/>
    <mergeCell ref="A24:D24"/>
    <mergeCell ref="A25:D25"/>
    <mergeCell ref="A2:I2"/>
    <mergeCell ref="B52:D52"/>
    <mergeCell ref="F52:H52"/>
    <mergeCell ref="B59:D59"/>
    <mergeCell ref="E65:G65"/>
    <mergeCell ref="E59:H59"/>
    <mergeCell ref="F41:H41"/>
    <mergeCell ref="A26:D26"/>
    <mergeCell ref="G26:I26"/>
    <mergeCell ref="A43:I43"/>
    <mergeCell ref="B45:D45"/>
    <mergeCell ref="F45:H45"/>
    <mergeCell ref="G28:I28"/>
    <mergeCell ref="G29:I30"/>
    <mergeCell ref="G31:I31"/>
    <mergeCell ref="A33:I33"/>
  </mergeCells>
  <conditionalFormatting sqref="B41:D41">
    <cfRule type="cellIs" dxfId="12" priority="30" operator="lessThan">
      <formula>B$30</formula>
    </cfRule>
    <cfRule type="cellIs" dxfId="11" priority="31" operator="greaterThan">
      <formula>B$30</formula>
    </cfRule>
  </conditionalFormatting>
  <conditionalFormatting sqref="E37:E40">
    <cfRule type="cellIs" dxfId="10" priority="28" operator="lessThan">
      <formula>$F22</formula>
    </cfRule>
    <cfRule type="cellIs" dxfId="9" priority="29" operator="greaterThan">
      <formula>$F22</formula>
    </cfRule>
  </conditionalFormatting>
  <conditionalFormatting sqref="G22">
    <cfRule type="expression" priority="22" stopIfTrue="1">
      <formula>AND($F$22=$E$22,$F$23=$E$23,$F$24=$E$24,$F$25=$E$25)</formula>
    </cfRule>
  </conditionalFormatting>
  <conditionalFormatting sqref="G23">
    <cfRule type="expression" priority="20" stopIfTrue="1">
      <formula>AND($F$22=$E$22,$F$23=$E$23,$F$24=$E$24,$F$25=$E$25)</formula>
    </cfRule>
  </conditionalFormatting>
  <conditionalFormatting sqref="G24">
    <cfRule type="expression" priority="18" stopIfTrue="1">
      <formula>AND($F$22=$E$22,$F$23=$E$23,$F$24=$E$24,$F$25=$E$25)</formula>
    </cfRule>
  </conditionalFormatting>
  <conditionalFormatting sqref="G25">
    <cfRule type="expression" priority="16" stopIfTrue="1">
      <formula>AND($F$22=$E$22,$F$23=$E$23,$F$24=$E$24,$F$25=$E$25)</formula>
    </cfRule>
  </conditionalFormatting>
  <conditionalFormatting sqref="F26">
    <cfRule type="expression" dxfId="8" priority="15">
      <formula>ROUND($F$26,3)&lt;ROUND($I$17,3)</formula>
    </cfRule>
  </conditionalFormatting>
  <conditionalFormatting sqref="E30">
    <cfRule type="expression" dxfId="7" priority="14">
      <formula>"$E$30&lt;$I$17"</formula>
    </cfRule>
  </conditionalFormatting>
  <conditionalFormatting sqref="F30">
    <cfRule type="expression" priority="12" stopIfTrue="1">
      <formula>AND($B$29=$B$30,$C$29=$C$30,$D$29=$D$30)</formula>
    </cfRule>
    <cfRule type="cellIs" dxfId="6" priority="13" operator="lessThan">
      <formula>$F$29</formula>
    </cfRule>
  </conditionalFormatting>
  <conditionalFormatting sqref="L11:L17">
    <cfRule type="cellIs" dxfId="5" priority="1" operator="greaterThan">
      <formula>$M11/7</formula>
    </cfRule>
    <cfRule type="cellIs" dxfId="4" priority="2" operator="lessThan">
      <formula>$M11/7</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3" operator="lessThan" id="{19DBD4D5-A406-4DFF-8590-9B6255E3D44B}">
            <xm:f>'Allocation (6.3.4)'!$D$14</xm:f>
            <x14:dxf>
              <font>
                <color rgb="FF9C0006"/>
              </font>
              <fill>
                <patternFill>
                  <bgColor rgb="FFFFC7CE"/>
                </patternFill>
              </fill>
            </x14:dxf>
          </x14:cfRule>
          <xm:sqref>G22</xm:sqref>
        </x14:conditionalFormatting>
        <x14:conditionalFormatting xmlns:xm="http://schemas.microsoft.com/office/excel/2006/main">
          <x14:cfRule type="cellIs" priority="21" operator="lessThan" id="{02BB038E-C83A-4210-AA56-BD81DD5B635B}">
            <xm:f>'Allocation (6.3.4)'!$D$18</xm:f>
            <x14:dxf>
              <font>
                <color rgb="FF9C0006"/>
              </font>
              <fill>
                <patternFill>
                  <bgColor rgb="FFFFC7CE"/>
                </patternFill>
              </fill>
            </x14:dxf>
          </x14:cfRule>
          <xm:sqref>G23</xm:sqref>
        </x14:conditionalFormatting>
        <x14:conditionalFormatting xmlns:xm="http://schemas.microsoft.com/office/excel/2006/main">
          <x14:cfRule type="cellIs" priority="19" operator="greaterThanOrEqual" id="{7136FBE0-226F-48A4-9ACE-551035489066}">
            <xm:f>'Allocation (6.3.4)'!$D$24</xm:f>
            <x14:dxf>
              <font>
                <color rgb="FF9C0006"/>
              </font>
              <fill>
                <patternFill>
                  <bgColor rgb="FFFFC7CE"/>
                </patternFill>
              </fill>
            </x14:dxf>
          </x14:cfRule>
          <xm:sqref>G24</xm:sqref>
        </x14:conditionalFormatting>
        <x14:conditionalFormatting xmlns:xm="http://schemas.microsoft.com/office/excel/2006/main">
          <x14:cfRule type="cellIs" priority="17" operator="greaterThanOrEqual" id="{E618CE0E-AEDF-43CA-A230-A3A12E9C89F0}">
            <xm:f>'Allocation (6.3.4)'!$D$27</xm:f>
            <x14:dxf>
              <font>
                <color rgb="FF9C0006"/>
              </font>
              <fill>
                <patternFill>
                  <bgColor rgb="FFFFC7CE"/>
                </patternFill>
              </fill>
            </x14:dxf>
          </x14:cfRule>
          <xm:sqref>G25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'Amount (6.3.3)'!$A$2:$A$49</xm:f>
          </x14:formula1>
          <xm:sqref>A7:A16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9"/>
  <sheetViews>
    <sheetView workbookViewId="0">
      <selection activeCell="C31" sqref="C31"/>
    </sheetView>
  </sheetViews>
  <sheetFormatPr defaultRowHeight="15"/>
  <cols>
    <col min="1" max="1" width="46.42578125" customWidth="1"/>
    <col min="2" max="2" width="42.5703125" customWidth="1"/>
    <col min="3" max="3" width="17.7109375" customWidth="1"/>
    <col min="4" max="4" width="22.5703125" customWidth="1"/>
    <col min="5" max="5" width="12.140625" customWidth="1"/>
  </cols>
  <sheetData>
    <row r="1" spans="1:7">
      <c r="A1" t="s">
        <v>41</v>
      </c>
      <c r="B1" t="s">
        <v>42</v>
      </c>
      <c r="C1" t="s">
        <v>120</v>
      </c>
      <c r="D1" t="s">
        <v>119</v>
      </c>
    </row>
    <row r="2" spans="1:7">
      <c r="A2" s="2" t="s">
        <v>2</v>
      </c>
      <c r="B2" t="s">
        <v>43</v>
      </c>
      <c r="C2">
        <v>0</v>
      </c>
      <c r="D2">
        <v>0</v>
      </c>
    </row>
    <row r="3" spans="1:7">
      <c r="A3" s="2" t="s">
        <v>3</v>
      </c>
      <c r="B3" t="s">
        <v>44</v>
      </c>
      <c r="C3" t="s">
        <v>71</v>
      </c>
      <c r="D3" t="s">
        <v>71</v>
      </c>
    </row>
    <row r="4" spans="1:7">
      <c r="A4" s="2" t="s">
        <v>47</v>
      </c>
      <c r="B4" t="s">
        <v>43</v>
      </c>
      <c r="C4">
        <v>0</v>
      </c>
      <c r="D4">
        <v>0</v>
      </c>
    </row>
    <row r="5" spans="1:7">
      <c r="A5" s="2" t="s">
        <v>48</v>
      </c>
      <c r="B5" t="s">
        <v>43</v>
      </c>
      <c r="C5">
        <v>0</v>
      </c>
      <c r="D5">
        <v>0</v>
      </c>
    </row>
    <row r="6" spans="1:7">
      <c r="A6" s="2" t="s">
        <v>117</v>
      </c>
      <c r="B6" t="s">
        <v>43</v>
      </c>
      <c r="C6">
        <v>0</v>
      </c>
      <c r="D6">
        <v>0</v>
      </c>
    </row>
    <row r="7" spans="1:7">
      <c r="A7" s="2" t="s">
        <v>49</v>
      </c>
      <c r="B7" t="s">
        <v>121</v>
      </c>
      <c r="E7">
        <f>Sheet5!$J$28/1000</f>
        <v>1.7062361460671748E-5</v>
      </c>
      <c r="F7">
        <v>-15.49</v>
      </c>
      <c r="G7">
        <f>Sheet5!$K$13</f>
        <v>2.1755143510287023</v>
      </c>
    </row>
    <row r="8" spans="1:7">
      <c r="A8" s="2" t="s">
        <v>50</v>
      </c>
      <c r="B8" t="s">
        <v>122</v>
      </c>
      <c r="E8">
        <f>Sheet5!$J$28/1000</f>
        <v>1.7062361460671748E-5</v>
      </c>
      <c r="F8">
        <v>-14.17</v>
      </c>
      <c r="G8">
        <f>Sheet5!$K$13</f>
        <v>2.1755143510287023</v>
      </c>
    </row>
    <row r="9" spans="1:7">
      <c r="A9" s="2" t="s">
        <v>51</v>
      </c>
      <c r="B9" t="s">
        <v>122</v>
      </c>
      <c r="E9">
        <f>Sheet5!$J$28/1000</f>
        <v>1.7062361460671748E-5</v>
      </c>
      <c r="F9">
        <v>-14.17</v>
      </c>
      <c r="G9">
        <f>Sheet5!$K$13</f>
        <v>2.1755143510287023</v>
      </c>
    </row>
    <row r="10" spans="1:7">
      <c r="A10" s="2" t="s">
        <v>52</v>
      </c>
      <c r="B10" t="s">
        <v>123</v>
      </c>
      <c r="E10">
        <f>Sheet5!$J$28/1000</f>
        <v>1.7062361460671748E-5</v>
      </c>
      <c r="F10">
        <v>-16.14</v>
      </c>
      <c r="G10">
        <f>Sheet5!$K$13</f>
        <v>2.1755143510287023</v>
      </c>
    </row>
    <row r="11" spans="1:7">
      <c r="A11" s="2" t="s">
        <v>53</v>
      </c>
      <c r="B11" t="s">
        <v>124</v>
      </c>
      <c r="E11">
        <f>Sheet5!$J$28/1000</f>
        <v>1.7062361460671748E-5</v>
      </c>
      <c r="F11">
        <v>-14.82</v>
      </c>
      <c r="G11">
        <f>Sheet5!$K$13</f>
        <v>2.1755143510287023</v>
      </c>
    </row>
    <row r="12" spans="1:7">
      <c r="A12" s="2" t="s">
        <v>54</v>
      </c>
      <c r="B12" t="s">
        <v>124</v>
      </c>
      <c r="E12">
        <f>Sheet5!$J$28/1000</f>
        <v>1.7062361460671748E-5</v>
      </c>
      <c r="F12">
        <v>-14.82</v>
      </c>
      <c r="G12">
        <f>Sheet5!$K$13</f>
        <v>2.1755143510287023</v>
      </c>
    </row>
    <row r="13" spans="1:7">
      <c r="A13" s="2" t="s">
        <v>4</v>
      </c>
      <c r="B13" t="s">
        <v>43</v>
      </c>
      <c r="C13">
        <v>0</v>
      </c>
      <c r="D13">
        <v>0</v>
      </c>
    </row>
    <row r="14" spans="1:7">
      <c r="A14" s="2" t="s">
        <v>5</v>
      </c>
      <c r="B14" t="s">
        <v>43</v>
      </c>
      <c r="C14">
        <v>0</v>
      </c>
      <c r="D14">
        <v>0</v>
      </c>
    </row>
    <row r="15" spans="1:7">
      <c r="A15" s="2" t="s">
        <v>6</v>
      </c>
      <c r="B15" t="s">
        <v>43</v>
      </c>
      <c r="C15">
        <v>0</v>
      </c>
      <c r="D15">
        <v>0</v>
      </c>
    </row>
    <row r="16" spans="1:7">
      <c r="A16" s="2" t="s">
        <v>7</v>
      </c>
      <c r="B16" t="s">
        <v>91</v>
      </c>
      <c r="C16" s="12">
        <f>Sheet5!$I$31</f>
        <v>0.2042932366856437</v>
      </c>
      <c r="D16" s="12">
        <f>Sheet5!$I$28</f>
        <v>0.2042932366856437</v>
      </c>
    </row>
    <row r="17" spans="1:4">
      <c r="A17" s="2" t="s">
        <v>8</v>
      </c>
      <c r="B17" t="s">
        <v>91</v>
      </c>
      <c r="C17" s="12">
        <f>Sheet5!$I$31</f>
        <v>0.2042932366856437</v>
      </c>
      <c r="D17" s="12">
        <f>Sheet5!$I$28</f>
        <v>0.2042932366856437</v>
      </c>
    </row>
    <row r="18" spans="1:4">
      <c r="A18" s="2" t="s">
        <v>9</v>
      </c>
      <c r="B18" t="str">
        <f>ROUND(C18,6)&amp;" * sf"</f>
        <v>0.000493 * sf</v>
      </c>
      <c r="C18" s="17">
        <f>Sheet5!$C$31/1000</f>
        <v>4.9338384297819996E-4</v>
      </c>
      <c r="D18" s="17">
        <f>Sheet5!$C$28/1000</f>
        <v>6.5485491886197432E-4</v>
      </c>
    </row>
    <row r="19" spans="1:4">
      <c r="A19" s="2" t="s">
        <v>10</v>
      </c>
      <c r="B19" t="str">
        <f t="shared" ref="B19:B25" si="0">ROUND(C19,6)&amp;" * sf"</f>
        <v>0.000431 * sf</v>
      </c>
      <c r="C19" s="17">
        <f>Sheet5!$D$31/1000</f>
        <v>4.3143296136839932E-4</v>
      </c>
      <c r="D19" s="17">
        <f>Sheet5!$D$28/1000</f>
        <v>5.7262920327078449E-4</v>
      </c>
    </row>
    <row r="20" spans="1:4">
      <c r="A20" s="2" t="s">
        <v>11</v>
      </c>
      <c r="B20" t="str">
        <f t="shared" si="0"/>
        <v>0.000431 * sf</v>
      </c>
      <c r="C20" s="17">
        <f>Sheet5!$D$31/1000</f>
        <v>4.3143296136839932E-4</v>
      </c>
      <c r="D20" s="17">
        <f>Sheet5!$D$28/1000</f>
        <v>5.7262920327078449E-4</v>
      </c>
    </row>
    <row r="21" spans="1:4">
      <c r="A21" s="2" t="s">
        <v>12</v>
      </c>
      <c r="B21" t="str">
        <f t="shared" si="0"/>
        <v>0.001197 * sf</v>
      </c>
      <c r="C21" s="17">
        <f>Sheet5!$E$31/1000</f>
        <v>1.1974744746213824E-3</v>
      </c>
      <c r="D21" s="17">
        <f>Sheet5!$E$28/1000</f>
        <v>1.5893752117701982E-3</v>
      </c>
    </row>
    <row r="22" spans="1:4">
      <c r="A22" s="2" t="s">
        <v>13</v>
      </c>
      <c r="B22" t="str">
        <f t="shared" si="0"/>
        <v>0.000246 * sf</v>
      </c>
      <c r="C22" s="17">
        <f>Sheet5!$G$31/1000</f>
        <v>2.4576929175822919E-4</v>
      </c>
      <c r="D22" s="17">
        <f>Sheet5!$D$28/1000</f>
        <v>5.7262920327078449E-4</v>
      </c>
    </row>
    <row r="23" spans="1:4">
      <c r="A23" s="2" t="s">
        <v>14</v>
      </c>
      <c r="B23" t="str">
        <f t="shared" si="0"/>
        <v>0.000013 * sf</v>
      </c>
      <c r="C23" s="17">
        <f>Sheet5!$F$31/1000</f>
        <v>1.3152621221892931E-5</v>
      </c>
      <c r="D23" s="17">
        <f>Sheet5!$F$28/1000</f>
        <v>1.7457115439966979E-5</v>
      </c>
    </row>
    <row r="24" spans="1:4">
      <c r="A24" s="2" t="s">
        <v>15</v>
      </c>
      <c r="B24" t="str">
        <f t="shared" si="0"/>
        <v>0.000431 * sf</v>
      </c>
      <c r="C24" s="17">
        <f>Sheet5!$D$31/1000</f>
        <v>4.3143296136839932E-4</v>
      </c>
      <c r="D24" s="17">
        <f>Sheet5!$D$28/1000</f>
        <v>5.7262920327078449E-4</v>
      </c>
    </row>
    <row r="25" spans="1:4">
      <c r="A25" s="2" t="s">
        <v>16</v>
      </c>
      <c r="B25" t="str">
        <f t="shared" si="0"/>
        <v>0.000431 * sf</v>
      </c>
      <c r="C25" s="17">
        <f>Sheet5!$D$31/1000</f>
        <v>4.3143296136839932E-4</v>
      </c>
      <c r="D25" s="17">
        <f>Sheet5!$D$28/1000</f>
        <v>5.7262920327078449E-4</v>
      </c>
    </row>
    <row r="26" spans="1:4">
      <c r="A26" s="2" t="s">
        <v>17</v>
      </c>
      <c r="B26" t="s">
        <v>44</v>
      </c>
      <c r="C26" t="s">
        <v>71</v>
      </c>
      <c r="D26" t="s">
        <v>71</v>
      </c>
    </row>
    <row r="27" spans="1:4">
      <c r="A27" s="2" t="s">
        <v>18</v>
      </c>
      <c r="B27" t="s">
        <v>44</v>
      </c>
      <c r="C27" t="s">
        <v>71</v>
      </c>
      <c r="D27" t="s">
        <v>71</v>
      </c>
    </row>
    <row r="28" spans="1:4">
      <c r="A28" s="2" t="s">
        <v>19</v>
      </c>
      <c r="B28" t="str">
        <f>ROUND(C28,6)&amp;" * sf"</f>
        <v>0.000431 * sf</v>
      </c>
      <c r="C28" s="17">
        <f>Sheet5!$D$31/1000</f>
        <v>4.3143296136839932E-4</v>
      </c>
      <c r="D28" s="17">
        <f>Sheet5!$D$28/1000</f>
        <v>5.7262920327078449E-4</v>
      </c>
    </row>
    <row r="29" spans="1:4">
      <c r="A29" s="2" t="s">
        <v>20</v>
      </c>
      <c r="B29" t="s">
        <v>44</v>
      </c>
      <c r="C29" s="17" t="s">
        <v>71</v>
      </c>
      <c r="D29" s="17">
        <f>Sheet5!$H$28/1000</f>
        <v>6.9798705916025705E-4</v>
      </c>
    </row>
    <row r="30" spans="1:4">
      <c r="A30" s="2" t="s">
        <v>21</v>
      </c>
      <c r="B30" t="s">
        <v>44</v>
      </c>
      <c r="C30" s="17" t="s">
        <v>71</v>
      </c>
      <c r="D30" s="17">
        <f>Sheet5!$H$28/1000</f>
        <v>6.9798705916025705E-4</v>
      </c>
    </row>
    <row r="31" spans="1:4">
      <c r="A31" s="1" t="s">
        <v>22</v>
      </c>
      <c r="B31" t="str">
        <f t="shared" ref="B31:B37" si="1">ROUND(C31,6)&amp;" * sf"</f>
        <v>0.000246 * sf</v>
      </c>
      <c r="C31" s="17">
        <f>Sheet5!$G$31/1000</f>
        <v>2.4576929175822919E-4</v>
      </c>
      <c r="D31" s="17">
        <f>Sheet5!$G$28/1000</f>
        <v>3.2620287815183141E-4</v>
      </c>
    </row>
    <row r="32" spans="1:4">
      <c r="A32" s="1" t="s">
        <v>23</v>
      </c>
      <c r="B32" t="str">
        <f t="shared" si="1"/>
        <v>0.000246 * sf</v>
      </c>
      <c r="C32" s="17">
        <f>Sheet5!$G$31/1000</f>
        <v>2.4576929175822919E-4</v>
      </c>
      <c r="D32" s="17">
        <f>Sheet5!$G$28/1000</f>
        <v>3.2620287815183141E-4</v>
      </c>
    </row>
    <row r="33" spans="1:4">
      <c r="A33" s="1" t="s">
        <v>24</v>
      </c>
      <c r="B33" t="str">
        <f t="shared" si="1"/>
        <v>0.000246 * sf</v>
      </c>
      <c r="C33" s="17">
        <f>Sheet5!$G$31/1000</f>
        <v>2.4576929175822919E-4</v>
      </c>
      <c r="D33" s="17">
        <f>Sheet5!$G$28/1000</f>
        <v>3.2620287815183141E-4</v>
      </c>
    </row>
    <row r="34" spans="1:4">
      <c r="A34" s="1" t="s">
        <v>25</v>
      </c>
      <c r="B34" t="str">
        <f t="shared" si="1"/>
        <v>0.000246 * sf</v>
      </c>
      <c r="C34" s="17">
        <f>Sheet5!$G$31/1000</f>
        <v>2.4576929175822919E-4</v>
      </c>
      <c r="D34" s="17">
        <f>Sheet5!$G$28/1000</f>
        <v>3.2620287815183141E-4</v>
      </c>
    </row>
    <row r="35" spans="1:4">
      <c r="A35" s="1" t="s">
        <v>26</v>
      </c>
      <c r="B35" t="str">
        <f t="shared" si="1"/>
        <v>0.000246 * sf</v>
      </c>
      <c r="C35" s="17">
        <f>Sheet5!$G$31/1000</f>
        <v>2.4576929175822919E-4</v>
      </c>
      <c r="D35" s="17">
        <f>Sheet5!$G$28/1000</f>
        <v>3.2620287815183141E-4</v>
      </c>
    </row>
    <row r="36" spans="1:4">
      <c r="A36" s="1" t="s">
        <v>27</v>
      </c>
      <c r="B36" t="str">
        <f t="shared" si="1"/>
        <v>0.000246 * sf</v>
      </c>
      <c r="C36" s="17">
        <f>Sheet5!$G$31/1000</f>
        <v>2.4576929175822919E-4</v>
      </c>
      <c r="D36" s="17">
        <f>Sheet5!$G$28/1000</f>
        <v>3.2620287815183141E-4</v>
      </c>
    </row>
    <row r="37" spans="1:4">
      <c r="A37" s="1" t="s">
        <v>28</v>
      </c>
      <c r="B37" t="str">
        <f t="shared" si="1"/>
        <v>0.000246 * sf</v>
      </c>
      <c r="C37" s="17">
        <f>Sheet5!$G$31/1000</f>
        <v>2.4576929175822919E-4</v>
      </c>
      <c r="D37" s="17">
        <f>Sheet5!$G$28/1000</f>
        <v>3.2620287815183141E-4</v>
      </c>
    </row>
    <row r="38" spans="1:4">
      <c r="A38" s="1" t="s">
        <v>29</v>
      </c>
      <c r="B38" t="s">
        <v>43</v>
      </c>
      <c r="C38">
        <v>0</v>
      </c>
      <c r="D38">
        <v>0</v>
      </c>
    </row>
    <row r="39" spans="1:4">
      <c r="A39" s="1" t="s">
        <v>30</v>
      </c>
      <c r="B39" t="s">
        <v>43</v>
      </c>
      <c r="C39">
        <v>0</v>
      </c>
      <c r="D39">
        <v>0</v>
      </c>
    </row>
    <row r="40" spans="1:4">
      <c r="A40" s="1" t="s">
        <v>31</v>
      </c>
      <c r="B40" t="s">
        <v>43</v>
      </c>
      <c r="C40">
        <v>0</v>
      </c>
      <c r="D40">
        <v>0</v>
      </c>
    </row>
    <row r="41" spans="1:4">
      <c r="A41" s="1" t="s">
        <v>32</v>
      </c>
      <c r="B41" t="s">
        <v>43</v>
      </c>
      <c r="C41">
        <v>0</v>
      </c>
      <c r="D41">
        <v>0</v>
      </c>
    </row>
    <row r="42" spans="1:4">
      <c r="A42" s="1" t="s">
        <v>33</v>
      </c>
      <c r="B42" t="s">
        <v>43</v>
      </c>
      <c r="C42">
        <v>0</v>
      </c>
      <c r="D42">
        <v>0</v>
      </c>
    </row>
    <row r="43" spans="1:4">
      <c r="A43" s="1" t="s">
        <v>34</v>
      </c>
      <c r="B43" t="s">
        <v>43</v>
      </c>
      <c r="C43">
        <v>0</v>
      </c>
      <c r="D43">
        <v>0</v>
      </c>
    </row>
    <row r="44" spans="1:4">
      <c r="A44" s="1" t="s">
        <v>35</v>
      </c>
      <c r="B44" t="s">
        <v>43</v>
      </c>
      <c r="C44">
        <v>0</v>
      </c>
      <c r="D44">
        <v>0</v>
      </c>
    </row>
    <row r="45" spans="1:4">
      <c r="A45" s="1" t="s">
        <v>36</v>
      </c>
      <c r="B45" t="s">
        <v>43</v>
      </c>
      <c r="C45">
        <v>0</v>
      </c>
      <c r="D45">
        <v>0</v>
      </c>
    </row>
    <row r="46" spans="1:4">
      <c r="A46" s="1" t="s">
        <v>37</v>
      </c>
      <c r="B46" t="s">
        <v>43</v>
      </c>
      <c r="C46">
        <v>0</v>
      </c>
      <c r="D46">
        <v>0</v>
      </c>
    </row>
    <row r="47" spans="1:4">
      <c r="A47" s="1" t="s">
        <v>38</v>
      </c>
      <c r="B47" t="s">
        <v>43</v>
      </c>
      <c r="C47">
        <v>0</v>
      </c>
      <c r="D47">
        <v>0</v>
      </c>
    </row>
    <row r="48" spans="1:4">
      <c r="A48" s="1" t="s">
        <v>39</v>
      </c>
      <c r="B48" t="s">
        <v>43</v>
      </c>
      <c r="C48">
        <v>0</v>
      </c>
      <c r="D48">
        <v>0</v>
      </c>
    </row>
    <row r="49" spans="1:4">
      <c r="A49" s="1" t="s">
        <v>40</v>
      </c>
      <c r="B49" t="s">
        <v>43</v>
      </c>
      <c r="C49">
        <v>0</v>
      </c>
      <c r="D49">
        <v>0</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workbookViewId="0">
      <selection activeCell="N36" sqref="N36"/>
    </sheetView>
  </sheetViews>
  <sheetFormatPr defaultRowHeight="15"/>
  <cols>
    <col min="1" max="1" width="26.140625" customWidth="1"/>
    <col min="2" max="2" width="8.85546875"/>
    <col min="3" max="4" width="7.42578125" customWidth="1"/>
  </cols>
  <sheetData>
    <row r="1" spans="1:4">
      <c r="A1" s="43" t="s">
        <v>129</v>
      </c>
      <c r="B1" s="43"/>
      <c r="C1" s="44"/>
      <c r="D1" s="44"/>
    </row>
    <row r="2" spans="1:4">
      <c r="A2" s="43" t="s">
        <v>130</v>
      </c>
      <c r="B2" s="43"/>
      <c r="C2" s="44"/>
      <c r="D2" s="44"/>
    </row>
    <row r="3" spans="1:4">
      <c r="A3" s="43" t="s">
        <v>131</v>
      </c>
      <c r="B3" s="43"/>
      <c r="C3" s="44"/>
      <c r="D3" s="44"/>
    </row>
    <row r="4" spans="1:4">
      <c r="A4" s="76" t="s">
        <v>132</v>
      </c>
      <c r="B4" s="76"/>
      <c r="C4" s="77" t="s">
        <v>133</v>
      </c>
      <c r="D4" s="77"/>
    </row>
    <row r="5" spans="1:4">
      <c r="A5" s="45"/>
      <c r="B5" s="46" t="s">
        <v>134</v>
      </c>
      <c r="C5" s="44"/>
      <c r="D5" s="44"/>
    </row>
    <row r="6" spans="1:4">
      <c r="A6" s="45" t="s">
        <v>135</v>
      </c>
      <c r="B6" s="47">
        <v>8576</v>
      </c>
      <c r="C6" s="44"/>
      <c r="D6" s="44"/>
    </row>
    <row r="7" spans="1:4">
      <c r="A7" s="45" t="s">
        <v>136</v>
      </c>
      <c r="B7" s="48">
        <v>196</v>
      </c>
      <c r="C7" s="44"/>
      <c r="D7" s="44"/>
    </row>
    <row r="8" spans="1:4">
      <c r="A8" s="45" t="s">
        <v>137</v>
      </c>
      <c r="B8" s="48">
        <v>171</v>
      </c>
      <c r="C8" s="44"/>
      <c r="D8" s="44"/>
    </row>
    <row r="9" spans="1:4">
      <c r="A9" s="45" t="s">
        <v>138</v>
      </c>
      <c r="B9" s="48">
        <v>191</v>
      </c>
      <c r="C9" s="44"/>
      <c r="D9" s="44"/>
    </row>
    <row r="10" spans="1:4">
      <c r="A10" s="45" t="s">
        <v>139</v>
      </c>
      <c r="B10" s="48">
        <v>561</v>
      </c>
      <c r="C10" s="44"/>
      <c r="D10" s="44"/>
    </row>
    <row r="11" spans="1:4">
      <c r="A11" s="45" t="s">
        <v>140</v>
      </c>
      <c r="B11" s="48">
        <v>208</v>
      </c>
      <c r="C11" s="44"/>
      <c r="D11" s="44"/>
    </row>
    <row r="12" spans="1:4">
      <c r="A12" s="45" t="s">
        <v>141</v>
      </c>
      <c r="B12" s="48">
        <v>203</v>
      </c>
      <c r="C12" s="44"/>
      <c r="D12" s="44"/>
    </row>
    <row r="13" spans="1:4">
      <c r="A13" s="45" t="s">
        <v>142</v>
      </c>
      <c r="B13" s="48">
        <v>340</v>
      </c>
      <c r="C13" s="44"/>
      <c r="D13" s="44"/>
    </row>
    <row r="14" spans="1:4">
      <c r="A14" s="49" t="s">
        <v>143</v>
      </c>
      <c r="B14" s="47">
        <f>$B$13/2</f>
        <v>170</v>
      </c>
      <c r="C14" s="50">
        <f>SUM(B7:B12,B14)/B6</f>
        <v>0.1982276119402985</v>
      </c>
      <c r="D14" s="50">
        <f>SUM(B7:B12,B14)/(B6-B29-B28)</f>
        <v>0.24566473988439305</v>
      </c>
    </row>
    <row r="15" spans="1:4">
      <c r="A15" s="49" t="s">
        <v>144</v>
      </c>
      <c r="B15" s="47">
        <f>$B$13/2</f>
        <v>170</v>
      </c>
      <c r="C15" s="44"/>
      <c r="D15" s="44"/>
    </row>
    <row r="16" spans="1:4">
      <c r="A16" s="45" t="s">
        <v>145</v>
      </c>
      <c r="B16" s="48">
        <v>451</v>
      </c>
      <c r="C16" s="44"/>
      <c r="D16" s="44"/>
    </row>
    <row r="17" spans="1:7">
      <c r="A17" s="45" t="s">
        <v>146</v>
      </c>
      <c r="B17" s="48">
        <v>197</v>
      </c>
      <c r="C17" s="44"/>
      <c r="D17" s="44"/>
    </row>
    <row r="18" spans="1:7">
      <c r="A18" s="45" t="s">
        <v>147</v>
      </c>
      <c r="B18" s="48">
        <v>510</v>
      </c>
      <c r="C18" s="50">
        <f>SUM(B15:B18)/B6</f>
        <v>0.15485074626865672</v>
      </c>
      <c r="D18" s="50">
        <f>SUM(B15:B18)/(B6-B29-B28)</f>
        <v>0.19190751445086704</v>
      </c>
    </row>
    <row r="19" spans="1:7">
      <c r="A19" s="45" t="s">
        <v>148</v>
      </c>
      <c r="B19" s="47">
        <v>1231</v>
      </c>
      <c r="C19" s="44"/>
      <c r="D19" s="44"/>
    </row>
    <row r="20" spans="1:7">
      <c r="A20" s="45" t="s">
        <v>149</v>
      </c>
      <c r="B20" s="47">
        <v>1226</v>
      </c>
      <c r="C20" s="44"/>
      <c r="D20" s="44"/>
    </row>
    <row r="21" spans="1:7">
      <c r="A21" s="45" t="s">
        <v>150</v>
      </c>
      <c r="B21" s="48">
        <v>862</v>
      </c>
      <c r="C21" s="44"/>
      <c r="D21" s="44"/>
    </row>
    <row r="22" spans="1:7">
      <c r="A22" s="49" t="s">
        <v>151</v>
      </c>
      <c r="B22" s="48">
        <f>$B$21/5</f>
        <v>172.4</v>
      </c>
      <c r="C22" s="44"/>
      <c r="D22" s="44"/>
    </row>
    <row r="23" spans="1:7">
      <c r="A23" s="49" t="s">
        <v>152</v>
      </c>
      <c r="B23" s="48">
        <f>$B$21/5</f>
        <v>172.4</v>
      </c>
      <c r="C23" s="44"/>
      <c r="D23" s="44"/>
    </row>
    <row r="24" spans="1:7">
      <c r="A24" s="49" t="s">
        <v>153</v>
      </c>
      <c r="B24" s="48">
        <f>$B$21/5</f>
        <v>172.4</v>
      </c>
      <c r="C24" s="50">
        <f>SUM(B22:B24,B19:B20)/B6</f>
        <v>0.34680503731343282</v>
      </c>
      <c r="D24" s="50">
        <f>SUM(B22:B24,B19:B20)/(B6-B29-B28)</f>
        <v>0.42979768786127165</v>
      </c>
    </row>
    <row r="25" spans="1:7">
      <c r="A25" s="49" t="s">
        <v>154</v>
      </c>
      <c r="B25" s="48">
        <f>$B$21/5</f>
        <v>172.4</v>
      </c>
      <c r="C25" s="44"/>
      <c r="D25" s="44"/>
    </row>
    <row r="26" spans="1:7">
      <c r="A26" s="49" t="s">
        <v>155</v>
      </c>
      <c r="B26" s="48">
        <f>$B$21/5</f>
        <v>172.4</v>
      </c>
      <c r="C26" s="44"/>
      <c r="D26" s="44"/>
    </row>
    <row r="27" spans="1:7">
      <c r="A27" s="45" t="s">
        <v>156</v>
      </c>
      <c r="B27" s="48">
        <v>573</v>
      </c>
      <c r="C27" s="50">
        <f>SUM(B25:B27)/B6</f>
        <v>0.10701958955223879</v>
      </c>
      <c r="D27" s="50">
        <f>SUM(B25:B27)/(B6-B29-B28)</f>
        <v>0.1326300578034682</v>
      </c>
    </row>
    <row r="28" spans="1:7">
      <c r="A28" s="45" t="s">
        <v>157</v>
      </c>
      <c r="B28" s="48">
        <v>386</v>
      </c>
      <c r="C28" s="51">
        <f>SUM(B28:B29)/B6</f>
        <v>0.19309701492537312</v>
      </c>
      <c r="D28" s="44"/>
    </row>
    <row r="29" spans="1:7">
      <c r="A29" s="45" t="s">
        <v>158</v>
      </c>
      <c r="B29" s="47">
        <v>1270</v>
      </c>
      <c r="C29" s="44"/>
      <c r="D29" s="44"/>
    </row>
    <row r="30" spans="1:7">
      <c r="A30" s="45" t="s">
        <v>159</v>
      </c>
      <c r="B30" s="44"/>
      <c r="C30" s="44"/>
      <c r="D30" s="44"/>
    </row>
    <row r="32" spans="1:7">
      <c r="A32" s="52" t="s">
        <v>164</v>
      </c>
      <c r="B32" s="53"/>
      <c r="C32" s="53"/>
      <c r="D32" s="53"/>
      <c r="E32" s="15"/>
      <c r="F32" s="15"/>
      <c r="G32" s="15"/>
    </row>
    <row r="33" spans="1:14">
      <c r="A33" s="52" t="s">
        <v>131</v>
      </c>
      <c r="B33" s="52"/>
      <c r="C33" s="52"/>
      <c r="D33" s="52"/>
      <c r="E33" s="15"/>
      <c r="F33" s="15"/>
    </row>
    <row r="34" spans="1:14" ht="15" customHeight="1">
      <c r="A34" s="62" t="s">
        <v>165</v>
      </c>
      <c r="B34" s="59" t="s">
        <v>132</v>
      </c>
      <c r="C34" s="62"/>
      <c r="D34" s="63"/>
      <c r="E34" s="59"/>
    </row>
    <row r="35" spans="1:14" ht="15" customHeight="1">
      <c r="A35" s="58"/>
      <c r="B35" s="59" t="s">
        <v>134</v>
      </c>
      <c r="C35" s="58"/>
      <c r="D35" s="63"/>
      <c r="E35" s="59"/>
    </row>
    <row r="36" spans="1:14">
      <c r="A36" s="59" t="s">
        <v>135</v>
      </c>
      <c r="B36" s="60">
        <v>8576</v>
      </c>
      <c r="C36" s="58"/>
      <c r="D36" s="63"/>
      <c r="E36" s="59"/>
      <c r="J36" s="54"/>
      <c r="K36" s="55"/>
      <c r="L36" s="55"/>
      <c r="M36" s="55"/>
      <c r="N36" s="55"/>
    </row>
    <row r="37" spans="1:14">
      <c r="A37" s="59" t="s">
        <v>166</v>
      </c>
      <c r="B37" s="60">
        <v>1700</v>
      </c>
      <c r="C37" s="58"/>
      <c r="D37" s="63"/>
      <c r="E37" s="59"/>
      <c r="J37" s="54"/>
      <c r="K37" s="56"/>
      <c r="L37" s="55"/>
      <c r="M37" s="56"/>
      <c r="N37" s="55"/>
    </row>
    <row r="38" spans="1:14">
      <c r="A38" s="59" t="s">
        <v>167</v>
      </c>
      <c r="B38" s="60">
        <v>2935</v>
      </c>
      <c r="C38" s="58"/>
      <c r="D38" s="63"/>
      <c r="E38" s="59"/>
      <c r="J38" s="54"/>
      <c r="K38" s="55"/>
      <c r="L38" s="55"/>
      <c r="M38" s="57"/>
      <c r="N38" s="55"/>
    </row>
    <row r="39" spans="1:14">
      <c r="A39" s="59" t="s">
        <v>168</v>
      </c>
      <c r="B39" s="60">
        <v>3238</v>
      </c>
      <c r="C39" s="58"/>
      <c r="D39" s="63"/>
      <c r="F39" s="54"/>
      <c r="G39" s="56"/>
      <c r="H39" s="55"/>
    </row>
    <row r="40" spans="1:14">
      <c r="A40" s="59" t="s">
        <v>169</v>
      </c>
      <c r="B40" s="61">
        <v>703</v>
      </c>
      <c r="C40" s="58"/>
      <c r="D40" s="63"/>
      <c r="F40" t="s">
        <v>176</v>
      </c>
      <c r="G40" s="65" t="s">
        <v>177</v>
      </c>
      <c r="H40" s="55"/>
    </row>
    <row r="41" spans="1:14">
      <c r="A41" s="59" t="s">
        <v>170</v>
      </c>
      <c r="B41" s="60">
        <v>2573</v>
      </c>
      <c r="C41" s="58"/>
      <c r="D41" s="63"/>
      <c r="E41" t="s">
        <v>171</v>
      </c>
      <c r="F41">
        <f>(B43+B46+B47*2)/(B43+B44-B45)</f>
        <v>1.4267015706806283</v>
      </c>
      <c r="G41">
        <f>3/7</f>
        <v>0.42857142857142855</v>
      </c>
      <c r="H41" s="55"/>
      <c r="I41" s="18"/>
      <c r="J41" s="78"/>
    </row>
    <row r="42" spans="1:14">
      <c r="A42" s="59" t="s">
        <v>166</v>
      </c>
      <c r="B42" s="61">
        <v>935</v>
      </c>
      <c r="C42" s="58"/>
      <c r="D42" s="63"/>
      <c r="F42" s="54"/>
      <c r="H42" s="55"/>
      <c r="I42" s="18"/>
      <c r="J42" s="78"/>
    </row>
    <row r="43" spans="1:14">
      <c r="A43" s="59" t="s">
        <v>167</v>
      </c>
      <c r="B43" s="60">
        <v>1638</v>
      </c>
      <c r="C43" s="58"/>
      <c r="D43" s="63"/>
      <c r="F43" s="54"/>
      <c r="H43" s="55"/>
      <c r="I43" s="18"/>
      <c r="J43" s="79"/>
    </row>
    <row r="44" spans="1:14">
      <c r="A44" s="59" t="s">
        <v>172</v>
      </c>
      <c r="B44" s="60">
        <v>3203</v>
      </c>
      <c r="C44" s="58"/>
      <c r="D44" s="63"/>
      <c r="E44" t="s">
        <v>60</v>
      </c>
      <c r="F44">
        <f>(0.25*B46+B50*1+B51*2+B52*3+B55*1+B56*2+B57*3)/(0.25*B46+B48-B49+B53-B54)</f>
        <v>1.9945059736635562</v>
      </c>
      <c r="G44">
        <f>3/7</f>
        <v>0.42857142857142855</v>
      </c>
      <c r="H44" s="55"/>
      <c r="I44" s="18"/>
      <c r="J44" s="78"/>
    </row>
    <row r="45" spans="1:14">
      <c r="A45" s="59" t="s">
        <v>166</v>
      </c>
      <c r="B45" s="61">
        <v>639</v>
      </c>
      <c r="C45" s="58"/>
      <c r="D45" s="63"/>
      <c r="I45" s="18"/>
      <c r="J45" s="78"/>
    </row>
    <row r="46" spans="1:14">
      <c r="A46" s="59" t="s">
        <v>167</v>
      </c>
      <c r="B46" s="61">
        <v>771</v>
      </c>
      <c r="C46" s="58"/>
      <c r="D46" s="63"/>
      <c r="I46" s="18"/>
      <c r="J46" s="78"/>
    </row>
    <row r="47" spans="1:14">
      <c r="A47" s="59" t="s">
        <v>168</v>
      </c>
      <c r="B47" s="60">
        <v>1793</v>
      </c>
      <c r="C47" s="58"/>
      <c r="D47" s="63"/>
      <c r="I47" s="18"/>
      <c r="J47" s="78"/>
    </row>
    <row r="48" spans="1:14">
      <c r="A48" s="59" t="s">
        <v>173</v>
      </c>
      <c r="B48" s="60">
        <v>1413</v>
      </c>
      <c r="C48" s="58"/>
      <c r="D48" s="63"/>
      <c r="E48" t="s">
        <v>61</v>
      </c>
      <c r="F48">
        <f>(B50*1+B52*3+B55*1+B56*2+B57*3)/(B48-B49-B51+B53-B54)</f>
        <v>2.0924281984334203</v>
      </c>
      <c r="G48">
        <f>1/7</f>
        <v>0.14285714285714285</v>
      </c>
      <c r="I48" s="18"/>
      <c r="J48" s="78"/>
    </row>
    <row r="49" spans="1:10">
      <c r="A49" s="59" t="s">
        <v>166</v>
      </c>
      <c r="B49" s="61">
        <v>0</v>
      </c>
      <c r="C49" s="58"/>
      <c r="D49" s="63"/>
      <c r="I49" s="18"/>
      <c r="J49" s="78"/>
    </row>
    <row r="50" spans="1:10">
      <c r="A50" s="59" t="s">
        <v>167</v>
      </c>
      <c r="B50" s="61">
        <v>251</v>
      </c>
      <c r="C50" s="58"/>
      <c r="D50" s="63"/>
      <c r="G50">
        <f>F41*G41+F44*G44+F48*G48</f>
        <v>1.7651501187808534</v>
      </c>
      <c r="I50" s="18"/>
      <c r="J50" s="18"/>
    </row>
    <row r="51" spans="1:10">
      <c r="A51" s="59" t="s">
        <v>168</v>
      </c>
      <c r="B51" s="61">
        <v>759</v>
      </c>
      <c r="C51" s="58"/>
      <c r="D51" s="63"/>
      <c r="E51" s="59"/>
    </row>
    <row r="52" spans="1:10">
      <c r="A52" s="59" t="s">
        <v>174</v>
      </c>
      <c r="B52" s="61">
        <v>403</v>
      </c>
      <c r="C52" s="58"/>
      <c r="D52" s="63"/>
      <c r="E52" s="59"/>
    </row>
    <row r="53" spans="1:10" ht="15" customHeight="1">
      <c r="A53" s="59" t="s">
        <v>175</v>
      </c>
      <c r="B53" s="60">
        <v>1387</v>
      </c>
      <c r="C53" s="58"/>
      <c r="D53" s="63"/>
      <c r="E53" s="59"/>
    </row>
    <row r="54" spans="1:10">
      <c r="A54" s="59" t="s">
        <v>166</v>
      </c>
      <c r="B54" s="61">
        <v>126</v>
      </c>
      <c r="C54" s="58"/>
      <c r="D54" s="63"/>
      <c r="E54" s="59"/>
    </row>
    <row r="55" spans="1:10">
      <c r="A55" s="59" t="s">
        <v>167</v>
      </c>
      <c r="B55" s="61">
        <v>275</v>
      </c>
      <c r="C55" s="58"/>
      <c r="D55" s="63"/>
      <c r="E55" s="59"/>
    </row>
    <row r="56" spans="1:10">
      <c r="A56" s="59" t="s">
        <v>168</v>
      </c>
      <c r="B56" s="61">
        <v>686</v>
      </c>
      <c r="C56" s="58"/>
      <c r="D56" s="63"/>
      <c r="E56" s="59"/>
    </row>
    <row r="57" spans="1:10">
      <c r="A57" s="59" t="s">
        <v>169</v>
      </c>
      <c r="B57" s="61">
        <v>300</v>
      </c>
      <c r="C57" s="58"/>
      <c r="D57" s="63"/>
      <c r="E57" s="59"/>
    </row>
    <row r="58" spans="1:10">
      <c r="A58" s="58"/>
      <c r="B58" s="58"/>
      <c r="C58" s="58"/>
      <c r="D58" s="64"/>
      <c r="E58" s="58"/>
    </row>
  </sheetData>
  <sheetProtection sheet="1" objects="1" scenarios="1"/>
  <mergeCells count="2">
    <mergeCell ref="A4:B4"/>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U50"/>
  <sheetViews>
    <sheetView workbookViewId="0">
      <selection activeCell="O40" sqref="O40"/>
    </sheetView>
  </sheetViews>
  <sheetFormatPr defaultRowHeight="15"/>
  <cols>
    <col min="1" max="1" width="13.7109375" customWidth="1"/>
    <col min="2" max="5" width="14.42578125" customWidth="1"/>
    <col min="6" max="6" width="7.28515625" customWidth="1"/>
    <col min="7" max="8" width="14.28515625" customWidth="1"/>
    <col min="9" max="17" width="14" customWidth="1"/>
    <col min="18" max="18" width="14.85546875" customWidth="1"/>
    <col min="19" max="21" width="14" customWidth="1"/>
  </cols>
  <sheetData>
    <row r="2" spans="1:21">
      <c r="A2" t="s">
        <v>225</v>
      </c>
    </row>
    <row r="3" spans="1:21">
      <c r="B3" s="67">
        <f>S8*P8</f>
        <v>562.9082956495597</v>
      </c>
      <c r="H3" t="s">
        <v>195</v>
      </c>
    </row>
    <row r="4" spans="1:21">
      <c r="I4" t="s">
        <v>196</v>
      </c>
      <c r="J4" t="s">
        <v>70</v>
      </c>
      <c r="K4" t="s">
        <v>197</v>
      </c>
      <c r="L4" t="s">
        <v>198</v>
      </c>
      <c r="M4" s="3" t="s">
        <v>216</v>
      </c>
      <c r="N4" s="3" t="s">
        <v>217</v>
      </c>
      <c r="O4" s="3" t="s">
        <v>218</v>
      </c>
      <c r="P4" s="3" t="s">
        <v>223</v>
      </c>
      <c r="Q4" s="3" t="s">
        <v>219</v>
      </c>
      <c r="R4" s="15" t="s">
        <v>220</v>
      </c>
      <c r="S4" s="3" t="s">
        <v>221</v>
      </c>
    </row>
    <row r="5" spans="1:21">
      <c r="H5" t="s">
        <v>178</v>
      </c>
      <c r="I5" s="67">
        <v>2000000</v>
      </c>
      <c r="J5" s="67">
        <f>16000000-2000000</f>
        <v>14000000</v>
      </c>
      <c r="K5" s="68">
        <v>31531</v>
      </c>
      <c r="L5" s="68">
        <v>21286</v>
      </c>
      <c r="M5" s="68">
        <v>30</v>
      </c>
      <c r="N5" s="72">
        <f t="shared" ref="N5:O7" si="0">K5/$M5</f>
        <v>1051.0333333333333</v>
      </c>
      <c r="O5" s="72">
        <f t="shared" si="0"/>
        <v>709.5333333333333</v>
      </c>
      <c r="P5" s="74">
        <f>N5/O5</f>
        <v>1.4813022643991356</v>
      </c>
      <c r="Q5" s="67">
        <f>I5/(K5+1915)</f>
        <v>59.797883154936315</v>
      </c>
      <c r="R5" s="67">
        <f>J5/(K5+1915)</f>
        <v>418.58518208455422</v>
      </c>
      <c r="S5" s="67">
        <f>SUM(Q5:R5)</f>
        <v>478.38306523949052</v>
      </c>
      <c r="T5" t="s">
        <v>222</v>
      </c>
    </row>
    <row r="6" spans="1:21">
      <c r="H6" t="s">
        <v>199</v>
      </c>
      <c r="I6" s="67">
        <v>3645000</v>
      </c>
      <c r="J6" s="67">
        <f>12900000-I6</f>
        <v>9255000</v>
      </c>
      <c r="K6" s="68">
        <v>35078</v>
      </c>
      <c r="L6" s="68">
        <v>18645</v>
      </c>
      <c r="M6" s="68">
        <v>26</v>
      </c>
      <c r="N6" s="72">
        <f t="shared" si="0"/>
        <v>1349.1538461538462</v>
      </c>
      <c r="O6" s="72">
        <f t="shared" si="0"/>
        <v>717.11538461538464</v>
      </c>
      <c r="P6" s="74">
        <f t="shared" ref="P6:P8" si="1">N6/O6</f>
        <v>1.8813622955215876</v>
      </c>
      <c r="Q6" s="67">
        <f>I6/K6</f>
        <v>103.91128342550887</v>
      </c>
      <c r="R6" s="67">
        <f>J6/K6</f>
        <v>263.84058384172414</v>
      </c>
      <c r="S6" s="67">
        <f t="shared" ref="S6:S8" si="2">SUM(Q6:R6)</f>
        <v>367.75186726723302</v>
      </c>
      <c r="T6" t="s">
        <v>200</v>
      </c>
    </row>
    <row r="7" spans="1:21">
      <c r="H7" t="s">
        <v>179</v>
      </c>
      <c r="I7" s="67"/>
      <c r="J7" s="67">
        <v>9549163</v>
      </c>
      <c r="K7" s="68">
        <v>42141</v>
      </c>
      <c r="L7" s="68">
        <v>33252</v>
      </c>
      <c r="M7" s="68">
        <v>24</v>
      </c>
      <c r="N7" s="72">
        <f t="shared" si="0"/>
        <v>1755.875</v>
      </c>
      <c r="O7" s="72">
        <f t="shared" si="0"/>
        <v>1385.5</v>
      </c>
      <c r="P7" s="74">
        <f t="shared" si="1"/>
        <v>1.2673222663298449</v>
      </c>
      <c r="R7" s="67">
        <f>J7/K7</f>
        <v>226.6002942502551</v>
      </c>
      <c r="S7" s="67">
        <f t="shared" si="2"/>
        <v>226.6002942502551</v>
      </c>
      <c r="T7" s="6"/>
    </row>
    <row r="8" spans="1:21">
      <c r="I8" s="67"/>
      <c r="J8" s="67"/>
      <c r="K8" s="68"/>
      <c r="L8" s="68"/>
      <c r="M8" s="68"/>
      <c r="N8" s="68">
        <f>SUM(K5:K7)/SUM(M5:M7)</f>
        <v>1359.375</v>
      </c>
      <c r="O8" s="68">
        <f>SUM(L5:L7)/SUM(M5:M7)</f>
        <v>914.78750000000002</v>
      </c>
      <c r="P8" s="74">
        <f t="shared" si="1"/>
        <v>1.4860008471912876</v>
      </c>
      <c r="Q8" s="67">
        <f>SUM(I5:I6)/SUM(K5:K6,1915)</f>
        <v>82.379896094798909</v>
      </c>
      <c r="R8" s="68">
        <f>SUM(J5:J7)/SUM(K5:K7,1915)</f>
        <v>296.42762390999866</v>
      </c>
      <c r="S8" s="67">
        <f t="shared" si="2"/>
        <v>378.80752000479754</v>
      </c>
      <c r="T8" s="6"/>
    </row>
    <row r="9" spans="1:21">
      <c r="I9" s="67"/>
      <c r="J9" s="67"/>
      <c r="K9" s="68"/>
      <c r="L9" s="68"/>
      <c r="M9" s="68"/>
      <c r="N9" s="68"/>
      <c r="O9" s="68"/>
      <c r="P9" s="73"/>
      <c r="Q9" s="68"/>
      <c r="R9" s="68"/>
      <c r="S9" s="69"/>
      <c r="T9" s="6"/>
    </row>
    <row r="10" spans="1:21">
      <c r="A10" t="s">
        <v>191</v>
      </c>
    </row>
    <row r="11" spans="1:21">
      <c r="B11" t="s">
        <v>192</v>
      </c>
      <c r="C11" t="s">
        <v>193</v>
      </c>
      <c r="D11" t="s">
        <v>194</v>
      </c>
      <c r="G11" t="s">
        <v>180</v>
      </c>
      <c r="K11" t="s">
        <v>181</v>
      </c>
      <c r="O11" t="s">
        <v>182</v>
      </c>
    </row>
    <row r="12" spans="1:21">
      <c r="A12" s="5">
        <v>0.5</v>
      </c>
      <c r="B12" s="6">
        <f>P$14/SUM(P$14:Q$15)*H$12*A12+SUM(P$15,Q$14)/SUM(P$14:Q$15)*H$13*A12+Q$15/SUM(P$14:Q$15)*H$13*A12</f>
        <v>36800.694444444445</v>
      </c>
      <c r="C12" s="6">
        <f>Q$14/SUM(Q$14:U$15)*H$13*A12+SUM(Q$15,R$14)/SUM(Q$14:U$15)*H$14*A12+SUM(R$15,S$14)/SUM(Q$14:U$15)*H$15*A12+SUM(S$15,T$14)/SUM(Q$14:U$15)*H$16*A12++SUM(T$15,U$14)/SUM(Q$14:U$15)*H$17*A12+U$15/SUM(Q$14:U$15)*H$18*A12</f>
        <v>46337.561728395071</v>
      </c>
      <c r="D12" s="6">
        <f>R$14/SUM(R$14:U$15)*H$14*A12+SUM(R$15,S$14)/SUM(R$14:U$15)*H$15*A12+SUM(S$15,T$14)/SUM(R$14:U$15)*H$16*A12+SUM(T$15,U$14)/SUM(R$14:U$15)*H$17*A12+U$15/SUM(R$14:U$15)*H$18*A12</f>
        <v>50270.602409638552</v>
      </c>
      <c r="G12">
        <v>1</v>
      </c>
      <c r="H12">
        <v>68950</v>
      </c>
      <c r="K12" t="s">
        <v>183</v>
      </c>
      <c r="L12" t="s">
        <v>184</v>
      </c>
      <c r="M12" t="s">
        <v>185</v>
      </c>
      <c r="P12" t="s">
        <v>186</v>
      </c>
    </row>
    <row r="13" spans="1:21">
      <c r="A13" s="5">
        <v>0.8</v>
      </c>
      <c r="B13" s="6">
        <f>P$14/SUM(P$14:Q$15)*H$12*A13+SUM(P$15,Q$14)/SUM(P$14:Q$15)*H$13*A13+Q$15/SUM(P$14:Q$15)*H$13*A13</f>
        <v>58881.111111111117</v>
      </c>
      <c r="C13" s="6">
        <f>Q$14/SUM(Q$14:U$15)*H$13*A13+SUM(Q$15,R$14)/SUM(Q$14:U$15)*H$14*A13+SUM(R$15,S$14)/SUM(Q$14:U$15)*H$15*A13+SUM(S$15,T$14)/SUM(Q$14:U$15)*H$16*A13++SUM(T$15,U$14)/SUM(Q$14:U$15)*H$17*A13+U$15/SUM(Q$14:U$15)*H$18*A13</f>
        <v>74140.098765432107</v>
      </c>
      <c r="D13" s="6">
        <f>R$14/SUM(R$14:U$15)*H$14*A13+SUM(R$15,S$14)/SUM(R$14:U$15)*H$15*A13+SUM(S$15,T$14)/SUM(R$14:U$15)*H$16*A13+SUM(T$15,U$14)/SUM(R$14:U$15)*H$17*A13+U$15/SUM(R$14:U$15)*H$18*A13</f>
        <v>80432.96385542168</v>
      </c>
      <c r="G13">
        <v>2</v>
      </c>
      <c r="H13">
        <v>78800</v>
      </c>
      <c r="K13">
        <v>1</v>
      </c>
      <c r="L13" t="s">
        <v>187</v>
      </c>
      <c r="M13" t="s">
        <v>188</v>
      </c>
      <c r="O13" t="s">
        <v>184</v>
      </c>
      <c r="P13">
        <v>0</v>
      </c>
      <c r="Q13">
        <v>1</v>
      </c>
      <c r="R13">
        <v>2</v>
      </c>
      <c r="S13">
        <v>3</v>
      </c>
      <c r="T13">
        <v>4</v>
      </c>
      <c r="U13">
        <v>5</v>
      </c>
    </row>
    <row r="14" spans="1:21">
      <c r="A14" s="5">
        <v>1.2</v>
      </c>
      <c r="B14" s="6">
        <f>P$14/SUM(P$14:Q$15)*H$12*A14+SUM(P$15,Q$14)/SUM(P$14:Q$15)*H$13*A14+Q$15/SUM(P$14:Q$15)*H$13*A14</f>
        <v>88321.666666666657</v>
      </c>
      <c r="C14" s="6">
        <f>Q$14/SUM(Q$14:U$15)*H$13*A14+SUM(Q$15,R$14)/SUM(Q$14:U$15)*H$14*A14+SUM(R$15,S$14)/SUM(Q$14:U$15)*H$15*A14+SUM(S$15,T$14)/SUM(Q$14:U$15)*H$16*A14++SUM(T$15,U$14)/SUM(Q$14:U$15)*H$17*A14+U$15/SUM(Q$14:U$15)*H$18*A14</f>
        <v>111210.14814814815</v>
      </c>
      <c r="D14" s="6">
        <f>R$14/SUM(R$14:U$15)*H$14*A14+SUM(R$15,S$14)/SUM(R$14:U$15)*H$15*A14+SUM(S$15,T$14)/SUM(R$14:U$15)*H$16*A14+SUM(T$15,U$14)/SUM(R$14:U$15)*H$17*A14+U$15/SUM(R$14:U$15)*H$18*A14</f>
        <v>120649.44578313253</v>
      </c>
      <c r="G14">
        <v>3</v>
      </c>
      <c r="H14">
        <v>88650</v>
      </c>
      <c r="K14">
        <v>2</v>
      </c>
      <c r="L14" t="s">
        <v>187</v>
      </c>
      <c r="M14" t="s">
        <v>189</v>
      </c>
      <c r="O14">
        <v>1</v>
      </c>
      <c r="P14">
        <v>190</v>
      </c>
      <c r="Q14">
        <v>34</v>
      </c>
      <c r="R14">
        <v>6</v>
      </c>
      <c r="S14">
        <v>4</v>
      </c>
      <c r="T14">
        <v>0</v>
      </c>
      <c r="U14">
        <v>0</v>
      </c>
    </row>
    <row r="15" spans="1:21">
      <c r="A15" s="5">
        <v>2</v>
      </c>
      <c r="B15" s="6">
        <f>P$14/SUM(P$14:Q$15)*H$12*A15+SUM(P$15,Q$14)/SUM(P$14:Q$15)*H$13*A15+Q$15/SUM(P$14:Q$15)*H$13*A15</f>
        <v>147202.77777777778</v>
      </c>
      <c r="C15" s="6">
        <f>Q$14/SUM(Q$14:U$15)*H$13*A15+SUM(Q$15,R$14)/SUM(Q$14:U$15)*H$14*A15+SUM(R$15,S$14)/SUM(Q$14:U$15)*H$15*A15+SUM(S$15,T$14)/SUM(Q$14:U$15)*H$16*A15++SUM(T$15,U$14)/SUM(Q$14:U$15)*H$17*A15+U$15/SUM(Q$14:U$15)*H$18*A15</f>
        <v>185350.24691358028</v>
      </c>
      <c r="D15" s="6">
        <f>R$14/SUM(R$14:U$15)*H$14*A15+SUM(R$15,S$14)/SUM(R$14:U$15)*H$15*A15+SUM(S$15,T$14)/SUM(R$14:U$15)*H$16*A15+SUM(T$15,U$14)/SUM(R$14:U$15)*H$17*A15+U$15/SUM(R$14:U$15)*H$18*A15</f>
        <v>201082.40963855421</v>
      </c>
      <c r="G15">
        <v>4</v>
      </c>
      <c r="H15" s="66">
        <v>98500</v>
      </c>
      <c r="K15">
        <v>3</v>
      </c>
      <c r="L15" t="s">
        <v>187</v>
      </c>
      <c r="M15" t="s">
        <v>190</v>
      </c>
      <c r="O15">
        <v>2</v>
      </c>
      <c r="P15">
        <v>91</v>
      </c>
      <c r="Q15">
        <v>45</v>
      </c>
      <c r="R15">
        <v>51</v>
      </c>
      <c r="S15">
        <v>18</v>
      </c>
      <c r="T15">
        <v>1</v>
      </c>
      <c r="U15">
        <v>3</v>
      </c>
    </row>
    <row r="16" spans="1:21">
      <c r="G16">
        <v>5</v>
      </c>
      <c r="H16">
        <v>106380</v>
      </c>
    </row>
    <row r="17" spans="1:14">
      <c r="G17">
        <v>6</v>
      </c>
      <c r="H17">
        <v>114260</v>
      </c>
    </row>
    <row r="18" spans="1:14">
      <c r="G18">
        <v>7</v>
      </c>
      <c r="H18">
        <v>122140</v>
      </c>
    </row>
    <row r="20" spans="1:14">
      <c r="A20" t="s">
        <v>224</v>
      </c>
    </row>
    <row r="21" spans="1:14">
      <c r="B21" t="s">
        <v>192</v>
      </c>
      <c r="C21" t="s">
        <v>193</v>
      </c>
      <c r="D21" t="s">
        <v>194</v>
      </c>
      <c r="G21" t="s">
        <v>201</v>
      </c>
    </row>
    <row r="22" spans="1:14">
      <c r="B22" s="70">
        <v>650</v>
      </c>
      <c r="C22" s="70">
        <v>900</v>
      </c>
      <c r="D22" s="70">
        <v>1150</v>
      </c>
      <c r="H22" t="s">
        <v>202</v>
      </c>
      <c r="I22" t="s">
        <v>203</v>
      </c>
      <c r="J22" t="s">
        <v>193</v>
      </c>
      <c r="K22" t="s">
        <v>194</v>
      </c>
    </row>
    <row r="23" spans="1:14">
      <c r="G23" t="s">
        <v>204</v>
      </c>
      <c r="H23">
        <v>395</v>
      </c>
      <c r="I23">
        <v>790</v>
      </c>
      <c r="J23">
        <v>950</v>
      </c>
    </row>
    <row r="24" spans="1:14">
      <c r="G24" t="s">
        <v>199</v>
      </c>
      <c r="H24">
        <v>495</v>
      </c>
      <c r="I24">
        <v>588</v>
      </c>
      <c r="J24">
        <v>1081</v>
      </c>
    </row>
    <row r="25" spans="1:14">
      <c r="G25" t="s">
        <v>205</v>
      </c>
      <c r="H25">
        <v>535</v>
      </c>
      <c r="I25">
        <v>705</v>
      </c>
      <c r="J25">
        <v>928</v>
      </c>
      <c r="N25" t="s">
        <v>206</v>
      </c>
    </row>
    <row r="26" spans="1:14">
      <c r="G26" t="s">
        <v>179</v>
      </c>
      <c r="J26">
        <v>1179</v>
      </c>
      <c r="K26">
        <v>1592</v>
      </c>
      <c r="N26" t="s">
        <v>206</v>
      </c>
    </row>
    <row r="27" spans="1:14">
      <c r="G27" s="7"/>
    </row>
    <row r="28" spans="1:14">
      <c r="A28" s="66" t="s">
        <v>207</v>
      </c>
    </row>
    <row r="29" spans="1:14">
      <c r="B29" t="s">
        <v>192</v>
      </c>
      <c r="C29" t="s">
        <v>193</v>
      </c>
      <c r="D29" t="s">
        <v>194</v>
      </c>
    </row>
    <row r="30" spans="1:14">
      <c r="A30" s="5">
        <v>0.5</v>
      </c>
      <c r="B30" s="7">
        <f>0.6*B12*0.3-$H$31</f>
        <v>4124.125</v>
      </c>
      <c r="C30" s="7">
        <f>0.6*C12*0.3-$H$31</f>
        <v>5840.7611111111109</v>
      </c>
      <c r="D30" s="7">
        <f>0.6*D12*0.3-$H$31</f>
        <v>6548.7084337349388</v>
      </c>
      <c r="G30" t="s">
        <v>208</v>
      </c>
    </row>
    <row r="31" spans="1:14">
      <c r="A31" s="5">
        <v>0.8</v>
      </c>
      <c r="B31" s="7">
        <f t="shared" ref="B31:D33" si="3">B12*0.3-$H$31</f>
        <v>8540.2083333333339</v>
      </c>
      <c r="C31" s="7">
        <f t="shared" si="3"/>
        <v>11401.26851851852</v>
      </c>
      <c r="D31" s="7">
        <f t="shared" si="3"/>
        <v>12581.180722891564</v>
      </c>
      <c r="H31" s="71">
        <v>2500</v>
      </c>
    </row>
    <row r="32" spans="1:14">
      <c r="A32" s="5">
        <v>1.2</v>
      </c>
      <c r="B32" s="7">
        <f t="shared" si="3"/>
        <v>15164.333333333336</v>
      </c>
      <c r="C32" s="7">
        <f t="shared" si="3"/>
        <v>19742.029629629633</v>
      </c>
      <c r="D32" s="7">
        <f t="shared" si="3"/>
        <v>21629.889156626505</v>
      </c>
    </row>
    <row r="33" spans="1:8">
      <c r="A33" s="5">
        <v>2</v>
      </c>
      <c r="B33" s="7">
        <f t="shared" si="3"/>
        <v>23996.499999999996</v>
      </c>
      <c r="C33" s="7">
        <f t="shared" si="3"/>
        <v>30863.044444444444</v>
      </c>
      <c r="D33" s="7">
        <f t="shared" si="3"/>
        <v>33694.833734939755</v>
      </c>
    </row>
    <row r="35" spans="1:8">
      <c r="A35" s="66" t="s">
        <v>209</v>
      </c>
    </row>
    <row r="36" spans="1:8">
      <c r="B36" s="5">
        <v>0.08</v>
      </c>
    </row>
    <row r="38" spans="1:8">
      <c r="A38" t="s">
        <v>210</v>
      </c>
    </row>
    <row r="39" spans="1:8">
      <c r="B39" t="s">
        <v>192</v>
      </c>
      <c r="C39" t="s">
        <v>193</v>
      </c>
      <c r="D39" t="s">
        <v>194</v>
      </c>
    </row>
    <row r="40" spans="1:8">
      <c r="A40" s="5">
        <v>0.5</v>
      </c>
      <c r="B40" s="7">
        <f>PV($G$43/12,$G$42*12,-1*0.6*B12*$G$40/12)/(1-$G$41)</f>
        <v>71072.125903817403</v>
      </c>
      <c r="C40" s="7">
        <f>PV($G$43/12,$G$42*12,-1*0.6*C12*$G$40/12)/(1-$G$41)</f>
        <v>89490.404215281698</v>
      </c>
      <c r="D40" s="7">
        <f>PV($G$43/12,$G$42*12,-1*0.6*D12*$G$40/12)/(1-$G$41)</f>
        <v>97086.172901227546</v>
      </c>
      <c r="G40" s="5">
        <v>0.22</v>
      </c>
      <c r="H40" t="s">
        <v>211</v>
      </c>
    </row>
    <row r="41" spans="1:8">
      <c r="A41" s="5">
        <v>0.8</v>
      </c>
      <c r="B41" s="6">
        <f t="shared" ref="B41:D43" si="4">PV($G$43/12,$G$42*12,-1*(B12+B13)/2*$G$40/12)/(1-$G$41)</f>
        <v>153989.60612493771</v>
      </c>
      <c r="C41" s="6">
        <f t="shared" si="4"/>
        <v>193895.87579977699</v>
      </c>
      <c r="D41" s="6">
        <f t="shared" si="4"/>
        <v>210353.37461932635</v>
      </c>
      <c r="G41" s="5">
        <v>0.05</v>
      </c>
      <c r="H41" t="s">
        <v>212</v>
      </c>
    </row>
    <row r="42" spans="1:8">
      <c r="A42" s="5">
        <v>1.2</v>
      </c>
      <c r="B42" s="6">
        <f t="shared" si="4"/>
        <v>236907.086346058</v>
      </c>
      <c r="C42" s="6">
        <f t="shared" si="4"/>
        <v>298301.34738427232</v>
      </c>
      <c r="D42" s="6">
        <f t="shared" si="4"/>
        <v>323620.57633742515</v>
      </c>
      <c r="G42">
        <v>30</v>
      </c>
      <c r="H42" t="s">
        <v>213</v>
      </c>
    </row>
    <row r="43" spans="1:8">
      <c r="A43" s="5">
        <v>2</v>
      </c>
      <c r="B43" s="6">
        <f t="shared" si="4"/>
        <v>379051.33815369284</v>
      </c>
      <c r="C43" s="6">
        <f t="shared" si="4"/>
        <v>477282.15581483569</v>
      </c>
      <c r="D43" s="6">
        <f t="shared" si="4"/>
        <v>517792.92213988031</v>
      </c>
      <c r="G43" s="5">
        <v>0.06</v>
      </c>
      <c r="H43" t="s">
        <v>214</v>
      </c>
    </row>
    <row r="45" spans="1:8">
      <c r="A45" t="s">
        <v>215</v>
      </c>
    </row>
    <row r="46" spans="1:8">
      <c r="B46" t="s">
        <v>192</v>
      </c>
      <c r="C46" t="s">
        <v>193</v>
      </c>
      <c r="D46" t="s">
        <v>194</v>
      </c>
    </row>
    <row r="47" spans="1:8">
      <c r="A47" s="5">
        <v>0.5</v>
      </c>
      <c r="B47" s="7">
        <f>IF(B$22*$B$3-B30/$B$36&gt;0,B$22*$B$3-B30/$B$36,0)</f>
        <v>314338.82967221382</v>
      </c>
      <c r="C47" s="7">
        <f t="shared" ref="C47:D48" si="5">IF(C$22*$B$3-C30/$B$36&gt;0,C$22*$B$3-C30/$B$36,0)</f>
        <v>433607.95219571487</v>
      </c>
      <c r="D47" s="7">
        <f t="shared" si="5"/>
        <v>565485.68457530683</v>
      </c>
    </row>
    <row r="48" spans="1:8">
      <c r="A48" s="5">
        <v>0.8</v>
      </c>
      <c r="B48" s="7">
        <f>IF(B$22*$B$3-B31/$B$36&gt;0,B$22*$B$3-B31/$B$36,0)</f>
        <v>259137.78800554713</v>
      </c>
      <c r="C48" s="7">
        <f t="shared" si="5"/>
        <v>364101.60960312223</v>
      </c>
      <c r="D48" s="7">
        <f t="shared" si="5"/>
        <v>490079.78096084902</v>
      </c>
    </row>
    <row r="49" spans="1:4">
      <c r="A49" s="5">
        <v>1.2</v>
      </c>
      <c r="B49" s="6">
        <f>IF(B$22*$B$3-B42&gt;0,B$22*$B$3-B42,0)</f>
        <v>128983.30582615582</v>
      </c>
      <c r="C49" s="6">
        <f t="shared" ref="C49:D50" si="6">IF(C$22*$B$3-C42&gt;0,C$22*$B$3-C42,0)</f>
        <v>208316.11870033143</v>
      </c>
      <c r="D49" s="6">
        <f t="shared" si="6"/>
        <v>323723.96365956846</v>
      </c>
    </row>
    <row r="50" spans="1:4">
      <c r="A50" s="5">
        <v>2</v>
      </c>
      <c r="B50" s="6">
        <f>IF(B$22*$B$3-B43&gt;0,B$22*$B$3-B43,0)</f>
        <v>0</v>
      </c>
      <c r="C50" s="6">
        <f t="shared" si="6"/>
        <v>29335.310269768059</v>
      </c>
      <c r="D50" s="6">
        <f t="shared" si="6"/>
        <v>129551.61785711331</v>
      </c>
    </row>
  </sheetData>
  <sheetProtection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R34"/>
  <sheetViews>
    <sheetView topLeftCell="C1" workbookViewId="0">
      <selection activeCell="O12" sqref="O12"/>
    </sheetView>
  </sheetViews>
  <sheetFormatPr defaultRowHeight="15"/>
  <cols>
    <col min="1" max="1" width="3.5703125" style="15" customWidth="1"/>
    <col min="2" max="2" width="33.7109375" customWidth="1"/>
    <col min="3" max="10" width="13.5703125" customWidth="1"/>
    <col min="11" max="11" width="10.85546875" customWidth="1"/>
    <col min="12" max="13" width="13" customWidth="1"/>
    <col min="14" max="17" width="11" customWidth="1"/>
    <col min="18" max="19" width="13" customWidth="1"/>
    <col min="20" max="23" width="11" customWidth="1"/>
    <col min="24" max="25" width="13" customWidth="1"/>
    <col min="26" max="26" width="12.5703125" customWidth="1"/>
    <col min="27" max="27" width="8.85546875" customWidth="1"/>
    <col min="28" max="28" width="13.85546875" customWidth="1"/>
  </cols>
  <sheetData>
    <row r="2" spans="1:11">
      <c r="B2" s="3"/>
      <c r="C2" t="s">
        <v>9</v>
      </c>
      <c r="D2" t="s">
        <v>10</v>
      </c>
      <c r="E2" t="s">
        <v>12</v>
      </c>
      <c r="F2" t="s">
        <v>226</v>
      </c>
      <c r="G2" t="s">
        <v>73</v>
      </c>
      <c r="H2" t="s">
        <v>72</v>
      </c>
      <c r="I2" t="s">
        <v>74</v>
      </c>
      <c r="J2" t="s">
        <v>128</v>
      </c>
    </row>
    <row r="3" spans="1:11">
      <c r="A3" s="15" t="s">
        <v>70</v>
      </c>
      <c r="B3" s="3"/>
    </row>
    <row r="4" spans="1:11">
      <c r="B4" s="3" t="s">
        <v>80</v>
      </c>
      <c r="C4">
        <v>1.234</v>
      </c>
      <c r="D4">
        <v>1.234</v>
      </c>
      <c r="E4">
        <v>1.234</v>
      </c>
      <c r="F4">
        <v>0.51400000000000001</v>
      </c>
      <c r="G4">
        <v>0.51400000000000001</v>
      </c>
      <c r="H4">
        <v>0.92700000000000005</v>
      </c>
      <c r="I4">
        <v>1.234</v>
      </c>
      <c r="J4">
        <v>1.234</v>
      </c>
    </row>
    <row r="5" spans="1:11">
      <c r="B5" s="3" t="s">
        <v>81</v>
      </c>
      <c r="I5">
        <v>900</v>
      </c>
    </row>
    <row r="6" spans="1:11">
      <c r="B6" s="3" t="s">
        <v>79</v>
      </c>
      <c r="C6">
        <v>30</v>
      </c>
      <c r="D6">
        <v>30</v>
      </c>
      <c r="E6">
        <v>30</v>
      </c>
      <c r="F6">
        <v>30</v>
      </c>
      <c r="G6">
        <v>30</v>
      </c>
      <c r="H6">
        <v>30</v>
      </c>
      <c r="I6">
        <v>30</v>
      </c>
      <c r="J6">
        <v>30</v>
      </c>
    </row>
    <row r="7" spans="1:11">
      <c r="B7" s="3" t="s">
        <v>77</v>
      </c>
      <c r="C7" s="12">
        <f t="shared" ref="C7:H7" si="0">C4/C6</f>
        <v>4.1133333333333334E-2</v>
      </c>
      <c r="D7" s="12">
        <f t="shared" si="0"/>
        <v>4.1133333333333334E-2</v>
      </c>
      <c r="E7" s="12">
        <f t="shared" si="0"/>
        <v>4.1133333333333334E-2</v>
      </c>
      <c r="F7" s="12">
        <f t="shared" si="0"/>
        <v>1.7133333333333334E-2</v>
      </c>
      <c r="G7" s="12">
        <f t="shared" si="0"/>
        <v>1.7133333333333334E-2</v>
      </c>
      <c r="H7" s="12">
        <f t="shared" si="0"/>
        <v>3.09E-2</v>
      </c>
      <c r="I7" s="12">
        <f>I4/I6*I5/1000</f>
        <v>3.7020000000000004E-2</v>
      </c>
      <c r="J7" s="12">
        <f>J4/J6</f>
        <v>4.1133333333333334E-2</v>
      </c>
    </row>
    <row r="8" spans="1:11">
      <c r="B8" s="10" t="s">
        <v>75</v>
      </c>
      <c r="C8">
        <v>1.774</v>
      </c>
      <c r="D8">
        <v>1.774</v>
      </c>
      <c r="E8">
        <v>1.774</v>
      </c>
      <c r="F8">
        <v>1.774</v>
      </c>
      <c r="G8">
        <v>1.774</v>
      </c>
      <c r="H8">
        <v>1.774</v>
      </c>
      <c r="I8">
        <v>1.774</v>
      </c>
      <c r="J8">
        <v>1.774</v>
      </c>
    </row>
    <row r="9" spans="1:11">
      <c r="B9" s="10" t="s">
        <v>89</v>
      </c>
      <c r="C9" s="13">
        <v>0.28870000000000001</v>
      </c>
      <c r="D9" s="13">
        <v>0.28870000000000001</v>
      </c>
      <c r="E9" s="13">
        <v>0.28870000000000001</v>
      </c>
      <c r="F9" s="13">
        <v>0.28870000000000001</v>
      </c>
      <c r="G9" s="13">
        <v>0.28870000000000001</v>
      </c>
      <c r="H9" s="13">
        <v>0.28870000000000001</v>
      </c>
      <c r="I9" s="13">
        <v>0.28870000000000001</v>
      </c>
      <c r="J9" s="13">
        <v>0.28870000000000001</v>
      </c>
    </row>
    <row r="10" spans="1:11">
      <c r="B10" s="3" t="s">
        <v>78</v>
      </c>
      <c r="C10" s="12">
        <f>C7/C8*(1-C9)</f>
        <v>1.6492750845546789E-2</v>
      </c>
      <c r="D10" s="12">
        <f t="shared" ref="D10:J10" si="1">D7/D8*(1-D9)</f>
        <v>1.6492750845546789E-2</v>
      </c>
      <c r="E10" s="12">
        <f t="shared" si="1"/>
        <v>1.6492750845546789E-2</v>
      </c>
      <c r="F10" s="12">
        <f t="shared" ref="F10" si="2">F7/F8*(1-F9)</f>
        <v>6.8697519729425038E-3</v>
      </c>
      <c r="G10" s="12">
        <f t="shared" si="1"/>
        <v>6.8697519729425038E-3</v>
      </c>
      <c r="H10" s="12">
        <f t="shared" si="1"/>
        <v>1.2389611048478017E-2</v>
      </c>
      <c r="I10" s="12">
        <f t="shared" si="1"/>
        <v>1.4843475760992111E-2</v>
      </c>
      <c r="J10" s="12">
        <f t="shared" si="1"/>
        <v>1.6492750845546789E-2</v>
      </c>
    </row>
    <row r="11" spans="1:11">
      <c r="A11" s="15" t="s">
        <v>76</v>
      </c>
      <c r="B11" s="3"/>
      <c r="C11" s="6"/>
      <c r="D11" s="6"/>
      <c r="E11" s="6"/>
      <c r="F11" s="6"/>
      <c r="G11" s="6"/>
      <c r="H11" s="6"/>
      <c r="I11" s="6"/>
      <c r="J11" s="6"/>
    </row>
    <row r="12" spans="1:11">
      <c r="B12" s="3" t="s">
        <v>77</v>
      </c>
      <c r="C12">
        <v>1.5980000000000001</v>
      </c>
      <c r="D12">
        <v>1.202</v>
      </c>
      <c r="E12">
        <v>3.911</v>
      </c>
      <c r="F12">
        <v>0.02</v>
      </c>
      <c r="G12">
        <v>0.71</v>
      </c>
      <c r="H12">
        <v>1.5980000000000001</v>
      </c>
      <c r="I12">
        <v>0.48699999999999999</v>
      </c>
    </row>
    <row r="13" spans="1:11">
      <c r="A13" s="16"/>
      <c r="B13" s="10" t="s">
        <v>75</v>
      </c>
      <c r="C13" s="8">
        <v>1.6779999999999999</v>
      </c>
      <c r="D13" s="8">
        <v>1.706</v>
      </c>
      <c r="E13" s="8">
        <v>2</v>
      </c>
      <c r="F13" s="8">
        <v>1.6519999999999999</v>
      </c>
      <c r="G13" s="8">
        <v>1.6519999999999999</v>
      </c>
      <c r="H13" s="8">
        <v>1.6779999999999999</v>
      </c>
      <c r="I13" s="8">
        <v>2</v>
      </c>
      <c r="J13" s="9">
        <v>1.7130000000000001</v>
      </c>
      <c r="K13" s="12">
        <f>J13/(1-J14)</f>
        <v>2.1755143510287023</v>
      </c>
    </row>
    <row r="14" spans="1:11">
      <c r="A14" s="16"/>
      <c r="B14" s="10" t="s">
        <v>88</v>
      </c>
      <c r="C14" s="13">
        <v>0.33139999999999997</v>
      </c>
      <c r="D14" s="13">
        <v>0.21299999999999999</v>
      </c>
      <c r="E14" s="13">
        <v>0.19650000000000001</v>
      </c>
      <c r="F14" s="13">
        <v>0.26079999999999998</v>
      </c>
      <c r="G14" s="13">
        <v>0.26079999999999998</v>
      </c>
      <c r="H14" s="13">
        <v>0.28179999999999999</v>
      </c>
      <c r="I14" s="13">
        <v>0.22869999999999999</v>
      </c>
      <c r="J14" s="14">
        <v>0.21260000000000001</v>
      </c>
    </row>
    <row r="15" spans="1:11">
      <c r="B15" s="3" t="s">
        <v>78</v>
      </c>
      <c r="C15" s="12">
        <f>C12/C13*(1-C14)</f>
        <v>0.63672395709177598</v>
      </c>
      <c r="D15" s="12">
        <f t="shared" ref="D15:I15" si="3">D12/D13*(1-D14)</f>
        <v>0.55449824150058613</v>
      </c>
      <c r="E15" s="12">
        <f t="shared" si="3"/>
        <v>1.5712442499999999</v>
      </c>
      <c r="F15" s="12">
        <f t="shared" si="3"/>
        <v>8.9491525423728829E-3</v>
      </c>
      <c r="G15" s="12">
        <f t="shared" si="3"/>
        <v>0.31769491525423732</v>
      </c>
      <c r="H15" s="12">
        <f t="shared" si="3"/>
        <v>0.68395923718712748</v>
      </c>
      <c r="I15" s="12">
        <f t="shared" si="3"/>
        <v>0.18781154999999999</v>
      </c>
    </row>
    <row r="16" spans="1:11">
      <c r="A16" s="15" t="s">
        <v>86</v>
      </c>
      <c r="B16" s="3"/>
      <c r="C16" s="6"/>
      <c r="D16" s="6"/>
      <c r="E16" s="6"/>
      <c r="F16" s="6"/>
      <c r="G16" s="6"/>
      <c r="H16" s="6"/>
      <c r="I16" s="6"/>
    </row>
    <row r="17" spans="1:18">
      <c r="B17" s="3" t="s">
        <v>82</v>
      </c>
      <c r="C17" s="11">
        <f t="shared" ref="C17:I17" si="4">12/11950.412</f>
        <v>1.0041494803693797E-3</v>
      </c>
      <c r="D17" s="11">
        <f t="shared" si="4"/>
        <v>1.0041494803693797E-3</v>
      </c>
      <c r="E17" s="11">
        <f t="shared" si="4"/>
        <v>1.0041494803693797E-3</v>
      </c>
      <c r="F17" s="11">
        <f t="shared" si="4"/>
        <v>1.0041494803693797E-3</v>
      </c>
      <c r="G17" s="11">
        <f t="shared" si="4"/>
        <v>1.0041494803693797E-3</v>
      </c>
      <c r="H17" s="11">
        <f t="shared" si="4"/>
        <v>1.0041494803693797E-3</v>
      </c>
      <c r="I17" s="11">
        <f t="shared" si="4"/>
        <v>1.0041494803693797E-3</v>
      </c>
      <c r="J17" s="11">
        <f>9/27201.802</f>
        <v>3.3086043343746126E-4</v>
      </c>
    </row>
    <row r="18" spans="1:18">
      <c r="B18" s="3" t="s">
        <v>75</v>
      </c>
      <c r="C18">
        <v>1.7969999999999999</v>
      </c>
      <c r="D18">
        <v>1.7969999999999999</v>
      </c>
      <c r="E18">
        <v>1.7969999999999999</v>
      </c>
      <c r="F18">
        <v>1.7969999999999999</v>
      </c>
      <c r="G18">
        <v>1.7969999999999999</v>
      </c>
      <c r="H18">
        <v>1.7969999999999999</v>
      </c>
      <c r="I18">
        <v>1.7969999999999999</v>
      </c>
      <c r="J18">
        <v>1.7969999999999999</v>
      </c>
      <c r="K18" s="12"/>
      <c r="P18" s="4"/>
      <c r="Q18" s="75"/>
    </row>
    <row r="19" spans="1:18">
      <c r="B19" s="3" t="s">
        <v>89</v>
      </c>
      <c r="C19" s="13">
        <v>0.25559999999999999</v>
      </c>
      <c r="D19" s="13">
        <v>0.25559999999999999</v>
      </c>
      <c r="E19" s="13">
        <v>0.25559999999999999</v>
      </c>
      <c r="F19" s="13">
        <v>0.25559999999999999</v>
      </c>
      <c r="G19" s="13">
        <v>0.25559999999999999</v>
      </c>
      <c r="H19" s="13">
        <v>0.25559999999999999</v>
      </c>
      <c r="I19" s="13">
        <v>0.25559999999999999</v>
      </c>
      <c r="J19" s="13">
        <v>0.25559999999999999</v>
      </c>
    </row>
    <row r="20" spans="1:18">
      <c r="B20" s="3" t="s">
        <v>83</v>
      </c>
      <c r="C20" s="11">
        <f>C17/C18*(1-C19)</f>
        <v>4.1596487099998124E-4</v>
      </c>
      <c r="D20" s="11">
        <f t="shared" ref="D20:I20" si="5">D17/D18*(1-D19)</f>
        <v>4.1596487099998124E-4</v>
      </c>
      <c r="E20" s="11">
        <f t="shared" si="5"/>
        <v>4.1596487099998124E-4</v>
      </c>
      <c r="F20" s="11">
        <f t="shared" ref="F20" si="6">F17/F18*(1-F19)</f>
        <v>4.1596487099998124E-4</v>
      </c>
      <c r="G20" s="11">
        <f t="shared" si="5"/>
        <v>4.1596487099998124E-4</v>
      </c>
      <c r="H20" s="11">
        <f t="shared" si="5"/>
        <v>4.1596487099998124E-4</v>
      </c>
      <c r="I20" s="11">
        <f t="shared" si="5"/>
        <v>4.1596487099998124E-4</v>
      </c>
      <c r="J20" s="11">
        <f>J17/J18*(1-J19)</f>
        <v>1.3705759969440519E-4</v>
      </c>
    </row>
    <row r="21" spans="1:18">
      <c r="A21" s="15" t="s">
        <v>87</v>
      </c>
      <c r="B21" s="3"/>
      <c r="C21" s="6"/>
      <c r="D21" s="6"/>
      <c r="E21" s="6"/>
      <c r="F21" s="6"/>
      <c r="G21" s="6"/>
      <c r="H21" s="6"/>
      <c r="I21" s="6"/>
      <c r="Q21" s="5"/>
    </row>
    <row r="22" spans="1:18">
      <c r="B22" s="3" t="s">
        <v>84</v>
      </c>
      <c r="C22" s="11">
        <f t="shared" ref="C22:I22" si="7">36/11950.412</f>
        <v>3.0124484411081392E-3</v>
      </c>
      <c r="D22" s="11">
        <f t="shared" si="7"/>
        <v>3.0124484411081392E-3</v>
      </c>
      <c r="E22" s="11">
        <f t="shared" si="7"/>
        <v>3.0124484411081392E-3</v>
      </c>
      <c r="F22" s="11">
        <f t="shared" si="7"/>
        <v>3.0124484411081392E-3</v>
      </c>
      <c r="G22" s="11">
        <f t="shared" si="7"/>
        <v>3.0124484411081392E-3</v>
      </c>
      <c r="H22" s="11">
        <f t="shared" si="7"/>
        <v>3.0124484411081392E-3</v>
      </c>
      <c r="I22" s="11">
        <f t="shared" si="7"/>
        <v>3.0124484411081392E-3</v>
      </c>
      <c r="J22" s="11">
        <f>29/27201.802</f>
        <v>1.0661058410762641E-3</v>
      </c>
      <c r="Q22" s="13"/>
    </row>
    <row r="23" spans="1:18">
      <c r="B23" s="3" t="s">
        <v>75</v>
      </c>
      <c r="C23">
        <v>1.7969999999999999</v>
      </c>
      <c r="D23">
        <v>1.7969999999999999</v>
      </c>
      <c r="E23">
        <v>1.7969999999999999</v>
      </c>
      <c r="F23">
        <v>1.7969999999999999</v>
      </c>
      <c r="G23">
        <v>1.7969999999999999</v>
      </c>
      <c r="H23">
        <v>1.7969999999999999</v>
      </c>
      <c r="I23">
        <v>1.7969999999999999</v>
      </c>
      <c r="J23">
        <v>1.7969999999999999</v>
      </c>
      <c r="Q23" s="13"/>
    </row>
    <row r="24" spans="1:18">
      <c r="B24" s="3" t="s">
        <v>89</v>
      </c>
      <c r="C24" s="13">
        <v>0.27089999999999997</v>
      </c>
      <c r="D24" s="13">
        <v>0.27089999999999997</v>
      </c>
      <c r="E24" s="13">
        <v>0.27089999999999997</v>
      </c>
      <c r="F24" s="13">
        <v>0.27089999999999997</v>
      </c>
      <c r="G24" s="13">
        <v>0.27089999999999997</v>
      </c>
      <c r="H24" s="13">
        <v>0.27089999999999997</v>
      </c>
      <c r="I24" s="13">
        <v>0.27089999999999997</v>
      </c>
      <c r="J24" s="13">
        <v>0.27089999999999997</v>
      </c>
    </row>
    <row r="25" spans="1:18">
      <c r="B25" s="3" t="s">
        <v>85</v>
      </c>
      <c r="C25" s="11">
        <f>C22/C23*(1-C24)</f>
        <v>1.2222460536516109E-3</v>
      </c>
      <c r="D25" s="11">
        <f t="shared" ref="D25:J25" si="8">D22/D23*(1-D24)</f>
        <v>1.2222460536516109E-3</v>
      </c>
      <c r="E25" s="11">
        <f t="shared" si="8"/>
        <v>1.2222460536516109E-3</v>
      </c>
      <c r="F25" s="11">
        <f t="shared" ref="F25" si="9">F22/F23*(1-F24)</f>
        <v>1.2222460536516109E-3</v>
      </c>
      <c r="G25" s="11">
        <f t="shared" si="8"/>
        <v>1.2222460536516109E-3</v>
      </c>
      <c r="H25" s="11">
        <f t="shared" si="8"/>
        <v>1.2222460536516109E-3</v>
      </c>
      <c r="I25" s="11">
        <f t="shared" si="8"/>
        <v>1.2222460536516109E-3</v>
      </c>
      <c r="J25" s="11">
        <f t="shared" si="8"/>
        <v>4.3255301543055334E-4</v>
      </c>
    </row>
    <row r="26" spans="1:18">
      <c r="A26" s="15" t="s">
        <v>46</v>
      </c>
      <c r="B26" s="3"/>
      <c r="C26" s="7"/>
      <c r="D26" s="7"/>
      <c r="E26" s="7"/>
      <c r="F26" s="7"/>
      <c r="G26" s="7"/>
      <c r="H26" s="7"/>
      <c r="I26" s="7"/>
    </row>
    <row r="27" spans="1:18">
      <c r="B27" s="3" t="s">
        <v>90</v>
      </c>
      <c r="C27" s="12">
        <f>C7+C12+C17+C22</f>
        <v>1.6431499312548108</v>
      </c>
      <c r="D27" s="12">
        <f t="shared" ref="D27:J27" si="10">D7+D12+D17+D22</f>
        <v>1.2471499312548107</v>
      </c>
      <c r="E27" s="12">
        <f t="shared" si="10"/>
        <v>3.956149931254811</v>
      </c>
      <c r="F27" s="12">
        <f t="shared" ref="F27" si="11">F7+F12+F17+F22</f>
        <v>4.1149931254810854E-2</v>
      </c>
      <c r="G27" s="12">
        <f t="shared" si="10"/>
        <v>0.73114993125481087</v>
      </c>
      <c r="H27" s="12">
        <f t="shared" si="10"/>
        <v>1.6329165979214775</v>
      </c>
      <c r="I27" s="12">
        <f t="shared" si="10"/>
        <v>0.52803659792147761</v>
      </c>
      <c r="J27" s="12">
        <f t="shared" si="10"/>
        <v>4.2530299607847058E-2</v>
      </c>
    </row>
    <row r="28" spans="1:18">
      <c r="B28" s="3" t="s">
        <v>78</v>
      </c>
      <c r="C28" s="12">
        <f>C10+C15+C20+C25</f>
        <v>0.65485491886197433</v>
      </c>
      <c r="D28" s="12">
        <f>D10+D15+D20+D25</f>
        <v>0.57262920327078448</v>
      </c>
      <c r="E28" s="12">
        <f t="shared" ref="E28:J28" si="12">E10+E15+E20+E25</f>
        <v>1.5893752117701982</v>
      </c>
      <c r="F28" s="12">
        <f t="shared" ref="F28" si="13">F10+F15+F20+F25</f>
        <v>1.7457115439966978E-2</v>
      </c>
      <c r="G28" s="12">
        <f t="shared" si="12"/>
        <v>0.32620287815183141</v>
      </c>
      <c r="H28" s="12">
        <f t="shared" si="12"/>
        <v>0.69798705916025705</v>
      </c>
      <c r="I28" s="12">
        <f t="shared" si="12"/>
        <v>0.2042932366856437</v>
      </c>
      <c r="J28" s="12">
        <f t="shared" si="12"/>
        <v>1.7062361460671749E-2</v>
      </c>
    </row>
    <row r="29" spans="1:18">
      <c r="B29" s="3" t="s">
        <v>125</v>
      </c>
      <c r="C29" s="41">
        <v>0.55000000000000004</v>
      </c>
      <c r="D29" s="41">
        <v>0.55000000000000004</v>
      </c>
      <c r="E29" s="41">
        <v>0.55000000000000004</v>
      </c>
      <c r="F29" s="41">
        <v>0.55000000000000004</v>
      </c>
      <c r="G29" s="41">
        <v>0.55000000000000004</v>
      </c>
      <c r="H29" s="41">
        <v>0.55000000000000004</v>
      </c>
      <c r="I29" s="41">
        <v>0.73</v>
      </c>
      <c r="J29" s="41">
        <v>0.73</v>
      </c>
    </row>
    <row r="30" spans="1:18">
      <c r="B30" s="3" t="s">
        <v>126</v>
      </c>
      <c r="C30" s="42">
        <f>C29/73%</f>
        <v>0.7534246575342467</v>
      </c>
      <c r="D30" s="42">
        <f>D29/73%</f>
        <v>0.7534246575342467</v>
      </c>
      <c r="E30" s="42">
        <f t="shared" ref="E30:J30" si="14">E29/73%</f>
        <v>0.7534246575342467</v>
      </c>
      <c r="F30" s="42">
        <f t="shared" ref="F30" si="15">F29/73%</f>
        <v>0.7534246575342467</v>
      </c>
      <c r="G30" s="42">
        <f t="shared" si="14"/>
        <v>0.7534246575342467</v>
      </c>
      <c r="H30" s="42">
        <f t="shared" si="14"/>
        <v>0.7534246575342467</v>
      </c>
      <c r="I30" s="42">
        <f t="shared" si="14"/>
        <v>1</v>
      </c>
      <c r="J30" s="42">
        <f t="shared" si="14"/>
        <v>1</v>
      </c>
      <c r="P30" s="75"/>
      <c r="Q30" s="12"/>
    </row>
    <row r="31" spans="1:18">
      <c r="B31" s="3" t="s">
        <v>127</v>
      </c>
      <c r="C31" s="12">
        <f>C28*C30</f>
        <v>0.49338384297819993</v>
      </c>
      <c r="D31" s="12">
        <f>D28*D30</f>
        <v>0.43143296136839931</v>
      </c>
      <c r="E31" s="12">
        <f t="shared" ref="E31:J31" si="16">E28*E30</f>
        <v>1.1974744746213823</v>
      </c>
      <c r="F31" s="12">
        <f t="shared" ref="F31" si="17">F28*F30</f>
        <v>1.3152621221892931E-2</v>
      </c>
      <c r="G31" s="12">
        <f t="shared" si="16"/>
        <v>0.24576929175822917</v>
      </c>
      <c r="H31" s="12">
        <f t="shared" si="16"/>
        <v>0.52588066101115261</v>
      </c>
      <c r="I31" s="12">
        <f t="shared" si="16"/>
        <v>0.2042932366856437</v>
      </c>
      <c r="J31" s="12">
        <f t="shared" si="16"/>
        <v>1.7062361460671749E-2</v>
      </c>
      <c r="Q31" s="12"/>
      <c r="R31" s="12"/>
    </row>
    <row r="32" spans="1:18">
      <c r="Q32" s="12"/>
    </row>
    <row r="33" spans="17:17">
      <c r="Q33" s="12"/>
    </row>
    <row r="34" spans="17:17">
      <c r="Q34" s="12"/>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Worksheet</vt:lpstr>
      <vt:lpstr>Amount (6.3.3)</vt:lpstr>
      <vt:lpstr>Allocation (6.3.4)</vt:lpstr>
      <vt:lpstr>In-Lieu Fee (6.3..5.D.5)</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Norton</dc:creator>
  <cp:lastModifiedBy>Regan Kohlhardt</cp:lastModifiedBy>
  <dcterms:created xsi:type="dcterms:W3CDTF">2018-03-06T13:23:21Z</dcterms:created>
  <dcterms:modified xsi:type="dcterms:W3CDTF">2018-06-26T22:21:25Z</dcterms:modified>
</cp:coreProperties>
</file>